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T Terkendali" sheetId="1" r:id="rId4"/>
    <sheet state="hidden" name="Per Puskesmas - Rekap KTR" sheetId="2" r:id="rId5"/>
    <sheet state="hidden" name="Per Puskesmas Rekap UBM" sheetId="3" r:id="rId6"/>
  </sheets>
  <definedNames/>
  <calcPr/>
  <extLst>
    <ext uri="GoogleSheetsCustomDataVersion2">
      <go:sheetsCustomData xmlns:go="http://customooxmlschemas.google.com/" r:id="rId7" roundtripDataChecksum="smKYfZ5MsfCUJFimOt6WbzwY6wHimaJUX/XY4EtdgCM="/>
    </ext>
  </extLst>
</workbook>
</file>

<file path=xl/sharedStrings.xml><?xml version="1.0" encoding="utf-8"?>
<sst xmlns="http://schemas.openxmlformats.org/spreadsheetml/2006/main" count="67" uniqueCount="56">
  <si>
    <t>LAPORAN CAPAIAN HIPERTENSI TERKENDALI</t>
  </si>
  <si>
    <t>PUSKESMAS MOJOLANGU</t>
  </si>
  <si>
    <t>TAHUN 2025</t>
  </si>
  <si>
    <t>No</t>
  </si>
  <si>
    <t>Bulan</t>
  </si>
  <si>
    <t>Total Sasaran</t>
  </si>
  <si>
    <t>Target/Sasaran 90%</t>
  </si>
  <si>
    <t>Total Capaian</t>
  </si>
  <si>
    <t>Pesesentase</t>
  </si>
  <si>
    <t>Laki - Laki</t>
  </si>
  <si>
    <t>Perempuan</t>
  </si>
  <si>
    <t>Total</t>
  </si>
  <si>
    <t>Target/Sasaran 63%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</si>
  <si>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</si>
  <si>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</si>
  <si>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</si>
  <si>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</si>
  <si>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</si>
  <si>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</si>
  <si>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</si>
  <si>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</si>
  <si>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</si>
  <si>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</si>
  <si>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</si>
  <si>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</si>
  <si>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</si>
  <si>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</si>
  <si>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</si>
  <si>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</si>
  <si>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t>TOTAL</t>
  </si>
  <si>
    <t xml:space="preserve">              Kembali ke _x000a_              Pilihan Program</t>
  </si>
  <si>
    <t>CAPAIAN IKK TAHUN 2024</t>
  </si>
  <si>
    <t>Rekapitulasi Penerapan Kawasan Tanpa Rokok (KTR)</t>
  </si>
  <si>
    <t>download sheet ini</t>
  </si>
  <si>
    <t>PUSKESMAS</t>
  </si>
  <si>
    <t>(%) Kepatuhan KTR</t>
  </si>
  <si>
    <t>Fasilitas Pelayanan Kesehatan</t>
  </si>
  <si>
    <t>Tempat Prosses Belajar Mengajar</t>
  </si>
  <si>
    <t>Tempat Anak
Bermain</t>
  </si>
  <si>
    <t>Tempat Ibadah</t>
  </si>
  <si>
    <t>Transportasi
Umum</t>
  </si>
  <si>
    <t>Tempat Kerja</t>
  </si>
  <si>
    <t>Tempat Umum, Tempat yang
Ditetapkan</t>
  </si>
  <si>
    <t>REKAPITULASI PENYELENGGARAAN LAYANAN UBM
KOTA MALANG TAHUN 2024</t>
  </si>
  <si>
    <t>FKTP YANG MENYELENGGARAKAN LAYANAN UBM*</t>
  </si>
  <si>
    <t>JUMLAH PUSKESMAS</t>
  </si>
  <si>
    <t>JUMLAH PUSKESMAS UBM</t>
  </si>
  <si>
    <t>% PUSKESMAS UBM</t>
  </si>
  <si>
    <t>JUMLAH KLINIK PRATAMA</t>
  </si>
  <si>
    <t>JUMLAH KLINIK PRATAMA UBM</t>
  </si>
  <si>
    <t>% KLINIK PRATAMA UBM</t>
  </si>
  <si>
    <t>JUMLAH DOKTER PRAKTIK MANDIRI</t>
  </si>
  <si>
    <t>JUMLAH DOKTER PRAKTIK MANDIRI UBM</t>
  </si>
  <si>
    <t>% DOKTER PRAKTIK MANDIRI UBM</t>
  </si>
  <si>
    <t xml:space="preserve">* FKTP DENGAN LAYANAN UBM :
</t>
  </si>
  <si>
    <t>FKTP di wilayah puskesmas (puskesmas, dokter praktek mandiri, klinik pratama) yang menyelenggarakan layanan Upaya Berhenti Merokok (UBM) dengan tenaga terlatih.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</si>
</sst>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33">
    <font>
      <sz val="11.0"/>
      <color theme="1"/>
      <name val="Verdana"/>
      <scheme val="minor"/>
    </font>
    <font>
      <sz val="11.0"/>
      <color theme="1"/>
      <name val="Verdana"/>
    </font>
    <font>
      <b/>
      <sz val="14.0"/>
      <color rgb="FF000000"/>
      <name val="Calibri"/>
    </font>
    <font>
      <b/>
      <sz val="14.0"/>
      <color rgb="FF1155CC"/>
      <name val="Calibri"/>
    </font>
    <font>
      <b/>
      <u/>
      <sz val="14.0"/>
      <color rgb="FF000000"/>
      <name val="Calibri"/>
    </font>
    <font>
      <b/>
      <sz val="11.0"/>
      <color rgb="FF000000"/>
      <name val="Calibri"/>
    </font>
    <font>
      <b/>
      <sz val="14.0"/>
      <color theme="1"/>
      <name val="Calibri"/>
    </font>
    <font>
      <sz val="11.0"/>
      <color theme="1"/>
      <name val="Calibri"/>
    </font>
    <font>
      <b/>
      <u/>
      <sz val="12.0"/>
      <color rgb="FF1155CC"/>
      <name val="Calibri"/>
    </font>
    <font>
      <b/>
      <sz val="12.0"/>
      <color rgb="FF000000"/>
      <name val="Calibri"/>
    </font>
    <font>
      <b/>
      <sz val="12.0"/>
      <color theme="1"/>
      <name val="Calibri"/>
    </font>
    <font>
      <b/>
      <sz val="12.0"/>
      <color rgb="FF1A1A1A"/>
      <name val="Calibri"/>
    </font>
    <font/>
    <font>
      <b/>
      <u/>
      <sz val="12.0"/>
      <color rgb="FF1155CC"/>
      <name val="Calibri"/>
    </font>
    <font>
      <sz val="11.0"/>
      <color rgb="FF000000"/>
      <name val="Calibri"/>
    </font>
    <font>
      <sz val="11.0"/>
      <color rgb="FF000000"/>
      <name val="Arial Narrow"/>
    </font>
    <font>
      <sz val="11.0"/>
      <color theme="1"/>
      <name val="Arial Narrow"/>
    </font>
    <font>
      <sz val="11.0"/>
      <color theme="1"/>
      <name val="Bookman Old Style"/>
    </font>
    <font>
      <sz val="11.0"/>
      <color rgb="FF1A1A1A"/>
      <name val="Bookman Old Style"/>
    </font>
    <font>
      <b/>
      <sz val="11.0"/>
      <color theme="1"/>
      <name val="Arial Narrow"/>
    </font>
    <font>
      <b/>
      <sz val="11.0"/>
      <color theme="1"/>
      <name val="Bookman Old Style"/>
    </font>
    <font>
      <b/>
      <sz val="11.0"/>
      <color theme="1"/>
      <name val="Calibri"/>
    </font>
    <font>
      <sz val="12.0"/>
      <color rgb="FF000000"/>
      <name val="Arial Narrow"/>
    </font>
    <font>
      <b/>
      <u/>
      <sz val="12.0"/>
      <color rgb="FF980000"/>
      <name val="Calibri"/>
    </font>
    <font>
      <b/>
      <sz val="12.0"/>
      <color rgb="FF980000"/>
      <name val="Calibri"/>
    </font>
    <font>
      <b/>
      <sz val="11.0"/>
      <color rgb="FF980000"/>
      <name val="Calibri"/>
    </font>
    <font>
      <sz val="12.0"/>
      <color theme="1"/>
      <name val="Verdana"/>
    </font>
    <font>
      <b/>
      <u/>
      <sz val="11.0"/>
      <color rgb="FF980000"/>
      <name val="Calibri"/>
    </font>
    <font>
      <b/>
      <u/>
      <sz val="14.0"/>
      <color rgb="FF1155CC"/>
      <name val="Calibri"/>
    </font>
    <font>
      <b/>
      <sz val="16.0"/>
      <color theme="1"/>
      <name val="Calibri"/>
    </font>
    <font>
      <b/>
      <u/>
      <sz val="14.0"/>
      <color rgb="FF0000FF"/>
      <name val="Calibri"/>
    </font>
    <font>
      <sz val="12.0"/>
      <color theme="1"/>
      <name val="Calibri"/>
    </font>
    <font>
      <b/>
      <sz val="12.0"/>
      <color rgb="FF000000"/>
      <name val="Arial Narrow"/>
    </font>
  </fonts>
  <fills count="9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DCC7"/>
        <bgColor rgb="FFFFDCC7"/>
      </patternFill>
    </fill>
    <fill>
      <patternFill patternType="solid">
        <fgColor rgb="FFBFBFBF"/>
        <bgColor rgb="FFBFBFBF"/>
      </patternFill>
    </fill>
    <fill>
      <patternFill patternType="solid">
        <fgColor rgb="FFB8CCE4"/>
        <bgColor rgb="FFB8CCE4"/>
      </patternFill>
    </fill>
    <fill>
      <patternFill patternType="solid">
        <fgColor rgb="FFD8E4BC"/>
        <bgColor rgb="FFD8E4BC"/>
      </patternFill>
    </fill>
    <fill>
      <patternFill patternType="solid">
        <fgColor rgb="FFB6D7A8"/>
        <bgColor rgb="FFB6D7A8"/>
      </patternFill>
    </fill>
  </fills>
  <borders count="48">
    <border/>
    <border>
      <left/>
      <right/>
      <top/>
      <bottom/>
    </border>
    <border>
      <left/>
      <top/>
    </border>
    <border>
      <top/>
    </border>
    <border>
      <left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left" readingOrder="0" shrinkToFit="0" vertical="center" wrapText="0"/>
    </xf>
    <xf borderId="3" fillId="2" fontId="3" numFmtId="0" xfId="0" applyAlignment="1" applyBorder="1" applyFont="1">
      <alignment horizontal="left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horizontal="left" vertical="center"/>
    </xf>
    <xf borderId="4" fillId="2" fontId="2" numFmtId="0" xfId="0" applyAlignment="1" applyBorder="1" applyFont="1">
      <alignment horizontal="left" readingOrder="0" shrinkToFit="0" vertical="center" wrapText="0"/>
    </xf>
    <xf borderId="0" fillId="2" fontId="3" numFmtId="0" xfId="0" applyAlignment="1" applyFont="1">
      <alignment horizontal="left" shrinkToFit="0" vertical="center" wrapText="1"/>
    </xf>
    <xf borderId="1" fillId="2" fontId="2" numFmtId="0" xfId="0" applyAlignment="1" applyBorder="1" applyFont="1">
      <alignment horizontal="left" vertical="center"/>
    </xf>
    <xf borderId="1" fillId="2" fontId="2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horizontal="left" shrinkToFit="0" vertical="center" wrapText="1"/>
    </xf>
    <xf borderId="4" fillId="2" fontId="3" numFmtId="0" xfId="0" applyAlignment="1" applyBorder="1" applyFont="1">
      <alignment horizontal="left" shrinkToFit="0" vertical="center" wrapText="1"/>
    </xf>
    <xf borderId="1" fillId="2" fontId="6" numFmtId="0" xfId="0" applyAlignment="1" applyBorder="1" applyFont="1">
      <alignment vertical="top"/>
    </xf>
    <xf borderId="1" fillId="2" fontId="1" numFmtId="0" xfId="0" applyAlignment="1" applyBorder="1" applyFont="1">
      <alignment vertical="top"/>
    </xf>
    <xf borderId="1" fillId="2" fontId="7" numFmtId="0" xfId="0" applyAlignment="1" applyBorder="1" applyFont="1">
      <alignment horizontal="center" shrinkToFit="0" vertical="top" wrapText="1"/>
    </xf>
    <xf borderId="1" fillId="2" fontId="7" numFmtId="0" xfId="0" applyAlignment="1" applyBorder="1" applyFont="1">
      <alignment horizontal="left" vertical="top"/>
    </xf>
    <xf borderId="1" fillId="2" fontId="7" numFmtId="0" xfId="0" applyAlignment="1" applyBorder="1" applyFont="1">
      <alignment vertical="top"/>
    </xf>
    <xf borderId="1" fillId="2" fontId="1" numFmtId="0" xfId="0" applyAlignment="1" applyBorder="1" applyFont="1">
      <alignment horizontal="center" shrinkToFit="0" vertical="top" wrapText="1"/>
    </xf>
    <xf borderId="1" fillId="2" fontId="8" numFmtId="0" xfId="0" applyAlignment="1" applyBorder="1" applyFont="1">
      <alignment horizontal="center" vertical="center"/>
    </xf>
    <xf borderId="5" fillId="3" fontId="9" numFmtId="0" xfId="0" applyAlignment="1" applyBorder="1" applyFill="1" applyFont="1">
      <alignment horizontal="center" shrinkToFit="0" vertical="center" wrapText="1"/>
    </xf>
    <xf borderId="6" fillId="3" fontId="9" numFmtId="0" xfId="0" applyAlignment="1" applyBorder="1" applyFont="1">
      <alignment horizontal="center" shrinkToFit="0" vertical="center" wrapText="1"/>
    </xf>
    <xf borderId="7" fillId="3" fontId="10" numFmtId="0" xfId="0" applyAlignment="1" applyBorder="1" applyFont="1">
      <alignment horizontal="center" shrinkToFit="0" vertical="center" wrapText="1"/>
    </xf>
    <xf borderId="7" fillId="3" fontId="11" numFmtId="0" xfId="0" applyAlignment="1" applyBorder="1" applyFont="1">
      <alignment horizontal="center" shrinkToFit="0" vertical="center" wrapText="1"/>
    </xf>
    <xf borderId="8" fillId="3" fontId="10" numFmtId="0" xfId="0" applyAlignment="1" applyBorder="1" applyFont="1">
      <alignment horizontal="center" vertical="center"/>
    </xf>
    <xf borderId="9" fillId="0" fontId="12" numFmtId="0" xfId="0" applyBorder="1" applyFont="1"/>
    <xf borderId="10" fillId="0" fontId="12" numFmtId="0" xfId="0" applyBorder="1" applyFont="1"/>
    <xf borderId="1" fillId="2" fontId="10" numFmtId="0" xfId="0" applyAlignment="1" applyBorder="1" applyFont="1">
      <alignment horizontal="center" shrinkToFit="0" vertical="center" wrapText="1"/>
    </xf>
    <xf borderId="11" fillId="0" fontId="12" numFmtId="0" xfId="0" applyBorder="1" applyFont="1"/>
    <xf borderId="12" fillId="0" fontId="12" numFmtId="0" xfId="0" applyBorder="1" applyFont="1"/>
    <xf borderId="13" fillId="0" fontId="12" numFmtId="0" xfId="0" applyBorder="1" applyFont="1"/>
    <xf borderId="14" fillId="3" fontId="10" numFmtId="0" xfId="0" applyAlignment="1" applyBorder="1" applyFont="1">
      <alignment horizontal="center" vertical="center"/>
    </xf>
    <xf borderId="15" fillId="3" fontId="10" numFmtId="0" xfId="0" applyAlignment="1" applyBorder="1" applyFont="1">
      <alignment horizontal="center" vertical="center"/>
    </xf>
    <xf borderId="16" fillId="3" fontId="10" numFmtId="0" xfId="0" applyAlignment="1" applyBorder="1" applyFont="1">
      <alignment horizontal="center" vertical="center"/>
    </xf>
    <xf borderId="1" fillId="3" fontId="13" numFmtId="0" xfId="0" applyAlignment="1" applyBorder="1" applyFont="1">
      <alignment horizontal="center" vertical="center"/>
    </xf>
    <xf borderId="17" fillId="3" fontId="9" numFmtId="0" xfId="0" applyAlignment="1" applyBorder="1" applyFont="1">
      <alignment horizontal="center" shrinkToFit="0" vertical="center" wrapText="1"/>
    </xf>
    <xf borderId="18" fillId="3" fontId="9" numFmtId="0" xfId="0" applyAlignment="1" applyBorder="1" applyFont="1">
      <alignment horizontal="center" shrinkToFit="0" vertical="center" wrapText="1"/>
    </xf>
    <xf borderId="19" fillId="3" fontId="10" numFmtId="0" xfId="0" applyAlignment="1" applyBorder="1" applyFont="1">
      <alignment horizontal="center" vertical="center"/>
    </xf>
    <xf borderId="20" fillId="0" fontId="12" numFmtId="0" xfId="0" applyBorder="1" applyFont="1"/>
    <xf borderId="21" fillId="0" fontId="12" numFmtId="0" xfId="0" applyBorder="1" applyFont="1"/>
    <xf borderId="22" fillId="3" fontId="10" numFmtId="0" xfId="0" applyAlignment="1" applyBorder="1" applyFont="1">
      <alignment horizontal="center" shrinkToFit="0" vertical="center" wrapText="1"/>
    </xf>
    <xf borderId="1" fillId="3" fontId="10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horizontal="center"/>
    </xf>
    <xf borderId="11" fillId="0" fontId="15" numFmtId="0" xfId="0" applyAlignment="1" applyBorder="1" applyFont="1">
      <alignment horizontal="center"/>
    </xf>
    <xf borderId="16" fillId="0" fontId="16" numFmtId="0" xfId="0" applyAlignment="1" applyBorder="1" applyFont="1">
      <alignment horizontal="left"/>
    </xf>
    <xf borderId="13" fillId="0" fontId="17" numFmtId="3" xfId="0" applyAlignment="1" applyBorder="1" applyFont="1" applyNumberFormat="1">
      <alignment horizontal="center" readingOrder="0" vertical="center"/>
    </xf>
    <xf borderId="13" fillId="0" fontId="18" numFmtId="3" xfId="0" applyAlignment="1" applyBorder="1" applyFont="1" applyNumberFormat="1">
      <alignment horizontal="center" vertical="center"/>
    </xf>
    <xf borderId="14" fillId="0" fontId="14" numFmtId="3" xfId="0" applyAlignment="1" applyBorder="1" applyFont="1" applyNumberFormat="1">
      <alignment horizontal="center"/>
    </xf>
    <xf borderId="15" fillId="0" fontId="14" numFmtId="3" xfId="0" applyAlignment="1" applyBorder="1" applyFont="1" applyNumberFormat="1">
      <alignment horizontal="center"/>
    </xf>
    <xf borderId="16" fillId="0" fontId="7" numFmtId="3" xfId="0" applyAlignment="1" applyBorder="1" applyFont="1" applyNumberFormat="1">
      <alignment horizontal="center"/>
    </xf>
    <xf borderId="23" fillId="0" fontId="7" numFmtId="0" xfId="0" applyAlignment="1" applyBorder="1" applyFont="1">
      <alignment horizontal="center"/>
    </xf>
    <xf borderId="12" fillId="0" fontId="16" numFmtId="0" xfId="0" applyAlignment="1" applyBorder="1" applyFont="1">
      <alignment horizontal="left"/>
    </xf>
    <xf borderId="23" fillId="0" fontId="17" numFmtId="3" xfId="0" applyAlignment="1" applyBorder="1" applyFont="1" applyNumberFormat="1">
      <alignment horizontal="center" vertical="center"/>
    </xf>
    <xf borderId="24" fillId="4" fontId="15" numFmtId="0" xfId="0" applyAlignment="1" applyBorder="1" applyFill="1" applyFont="1">
      <alignment horizontal="center"/>
    </xf>
    <xf borderId="25" fillId="4" fontId="19" numFmtId="0" xfId="0" applyAlignment="1" applyBorder="1" applyFont="1">
      <alignment horizontal="left"/>
    </xf>
    <xf borderId="23" fillId="4" fontId="20" numFmtId="3" xfId="0" applyAlignment="1" applyBorder="1" applyFont="1" applyNumberFormat="1">
      <alignment horizontal="center" vertical="center"/>
    </xf>
    <xf borderId="14" fillId="4" fontId="5" numFmtId="3" xfId="0" applyAlignment="1" applyBorder="1" applyFont="1" applyNumberFormat="1">
      <alignment horizontal="center"/>
    </xf>
    <xf borderId="15" fillId="4" fontId="5" numFmtId="3" xfId="0" applyAlignment="1" applyBorder="1" applyFont="1" applyNumberFormat="1">
      <alignment horizontal="center"/>
    </xf>
    <xf borderId="16" fillId="4" fontId="21" numFmtId="3" xfId="0" applyAlignment="1" applyBorder="1" applyFont="1" applyNumberFormat="1">
      <alignment horizontal="center"/>
    </xf>
    <xf borderId="23" fillId="4" fontId="21" numFmtId="0" xfId="0" applyAlignment="1" applyBorder="1" applyFont="1">
      <alignment horizontal="center"/>
    </xf>
    <xf borderId="11" fillId="0" fontId="22" numFmtId="0" xfId="0" applyAlignment="1" applyBorder="1" applyFont="1">
      <alignment horizontal="center"/>
    </xf>
    <xf borderId="0" fillId="0" fontId="14" numFmtId="3" xfId="0" applyAlignment="1" applyFont="1" applyNumberFormat="1">
      <alignment horizontal="right"/>
    </xf>
    <xf borderId="26" fillId="4" fontId="15" numFmtId="0" xfId="0" applyAlignment="1" applyBorder="1" applyFont="1">
      <alignment horizontal="center"/>
    </xf>
    <xf borderId="27" fillId="4" fontId="19" numFmtId="0" xfId="0" applyAlignment="1" applyBorder="1" applyFont="1">
      <alignment horizontal="left"/>
    </xf>
    <xf borderId="28" fillId="4" fontId="20" numFmtId="3" xfId="0" applyAlignment="1" applyBorder="1" applyFont="1" applyNumberFormat="1">
      <alignment horizontal="center" vertical="center"/>
    </xf>
    <xf borderId="29" fillId="4" fontId="5" numFmtId="3" xfId="0" applyAlignment="1" applyBorder="1" applyFont="1" applyNumberFormat="1">
      <alignment horizontal="center"/>
    </xf>
    <xf borderId="30" fillId="4" fontId="5" numFmtId="3" xfId="0" applyAlignment="1" applyBorder="1" applyFont="1" applyNumberFormat="1">
      <alignment horizontal="center"/>
    </xf>
    <xf borderId="31" fillId="4" fontId="21" numFmtId="3" xfId="0" applyAlignment="1" applyBorder="1" applyFont="1" applyNumberFormat="1">
      <alignment horizontal="center"/>
    </xf>
    <xf borderId="28" fillId="4" fontId="21" numFmtId="0" xfId="0" applyAlignment="1" applyBorder="1" applyFont="1">
      <alignment horizontal="center"/>
    </xf>
    <xf borderId="0" fillId="0" fontId="23" numFmtId="0" xfId="0" applyAlignment="1" applyFont="1">
      <alignment vertical="center"/>
    </xf>
    <xf borderId="32" fillId="0" fontId="24" numFmtId="0" xfId="0" applyAlignment="1" applyBorder="1" applyFont="1">
      <alignment horizontal="center" vertical="center"/>
    </xf>
    <xf borderId="33" fillId="0" fontId="12" numFmtId="0" xfId="0" applyBorder="1" applyFont="1"/>
    <xf borderId="34" fillId="0" fontId="20" numFmtId="3" xfId="0" applyAlignment="1" applyBorder="1" applyFont="1" applyNumberFormat="1">
      <alignment horizontal="center" vertical="center"/>
    </xf>
    <xf borderId="35" fillId="0" fontId="25" numFmtId="3" xfId="0" applyAlignment="1" applyBorder="1" applyFont="1" applyNumberFormat="1">
      <alignment horizontal="center" vertical="center"/>
    </xf>
    <xf borderId="36" fillId="0" fontId="25" numFmtId="3" xfId="0" applyAlignment="1" applyBorder="1" applyFont="1" applyNumberFormat="1">
      <alignment horizontal="center" vertical="center"/>
    </xf>
    <xf borderId="37" fillId="0" fontId="25" numFmtId="3" xfId="0" applyAlignment="1" applyBorder="1" applyFont="1" applyNumberFormat="1">
      <alignment horizontal="center" vertical="center"/>
    </xf>
    <xf borderId="34" fillId="0" fontId="25" numFmtId="3" xfId="0" applyAlignment="1" applyBorder="1" applyFont="1" applyNumberFormat="1">
      <alignment horizontal="center" vertical="center"/>
    </xf>
    <xf borderId="0" fillId="0" fontId="26" numFmtId="0" xfId="0" applyAlignment="1" applyFont="1">
      <alignment vertical="center"/>
    </xf>
    <xf borderId="0" fillId="0" fontId="27" numFmtId="0" xfId="0" applyFont="1"/>
    <xf borderId="0" fillId="0" fontId="25" numFmtId="0" xfId="0" applyFont="1"/>
    <xf borderId="0" fillId="0" fontId="14" numFmtId="0" xfId="0" applyFont="1"/>
    <xf borderId="0" fillId="0" fontId="1" numFmtId="0" xfId="0" applyAlignment="1" applyFont="1">
      <alignment horizontal="center"/>
    </xf>
    <xf borderId="2" fillId="2" fontId="28" numFmtId="0" xfId="0" applyAlignment="1" applyBorder="1" applyFont="1">
      <alignment horizontal="left" shrinkToFit="0" vertical="center" wrapText="1"/>
    </xf>
    <xf borderId="3" fillId="0" fontId="12" numFmtId="0" xfId="0" applyBorder="1" applyFont="1"/>
    <xf borderId="1" fillId="2" fontId="29" numFmtId="0" xfId="0" applyAlignment="1" applyBorder="1" applyFont="1">
      <alignment horizontal="center" vertical="center"/>
    </xf>
    <xf borderId="4" fillId="0" fontId="12" numFmtId="0" xfId="0" applyBorder="1" applyFont="1"/>
    <xf borderId="1" fillId="2" fontId="29" numFmtId="0" xfId="0" applyAlignment="1" applyBorder="1" applyFont="1">
      <alignment horizontal="left" vertical="center"/>
    </xf>
    <xf borderId="38" fillId="2" fontId="30" numFmtId="0" xfId="0" applyAlignment="1" applyBorder="1" applyFont="1">
      <alignment horizontal="left" vertical="center"/>
    </xf>
    <xf borderId="39" fillId="0" fontId="12" numFmtId="0" xfId="0" applyBorder="1" applyFont="1"/>
    <xf borderId="0" fillId="0" fontId="31" numFmtId="0" xfId="0" applyAlignment="1" applyFont="1">
      <alignment vertical="center"/>
    </xf>
    <xf borderId="40" fillId="0" fontId="10" numFmtId="0" xfId="0" applyAlignment="1" applyBorder="1" applyFont="1">
      <alignment horizontal="center" shrinkToFit="0" vertical="center" wrapText="1"/>
    </xf>
    <xf borderId="41" fillId="0" fontId="10" numFmtId="0" xfId="0" applyAlignment="1" applyBorder="1" applyFont="1">
      <alignment horizontal="center" vertical="center"/>
    </xf>
    <xf borderId="42" fillId="0" fontId="12" numFmtId="0" xfId="0" applyBorder="1" applyFont="1"/>
    <xf borderId="43" fillId="0" fontId="12" numFmtId="0" xfId="0" applyBorder="1" applyFont="1"/>
    <xf borderId="0" fillId="0" fontId="31" numFmtId="0" xfId="0" applyAlignment="1" applyFont="1">
      <alignment shrinkToFit="0" vertical="center" wrapText="1"/>
    </xf>
    <xf borderId="44" fillId="0" fontId="12" numFmtId="0" xfId="0" applyBorder="1" applyFont="1"/>
    <xf borderId="15" fillId="0" fontId="10" numFmtId="0" xfId="0" applyAlignment="1" applyBorder="1" applyFont="1">
      <alignment horizontal="center" shrinkToFit="0" vertical="center" wrapText="1"/>
    </xf>
    <xf borderId="45" fillId="0" fontId="12" numFmtId="0" xfId="0" applyBorder="1" applyFont="1"/>
    <xf borderId="15" fillId="0" fontId="10" numFmtId="0" xfId="0" applyAlignment="1" applyBorder="1" applyFont="1">
      <alignment horizontal="center" vertical="center"/>
    </xf>
    <xf borderId="0" fillId="0" fontId="31" numFmtId="0" xfId="0" applyAlignment="1" applyFont="1">
      <alignment horizontal="center" vertical="center"/>
    </xf>
    <xf borderId="15" fillId="0" fontId="17" numFmtId="0" xfId="0" applyAlignment="1" applyBorder="1" applyFont="1">
      <alignment horizontal="left"/>
    </xf>
    <xf borderId="15" fillId="0" fontId="16" numFmtId="3" xfId="0" applyAlignment="1" applyBorder="1" applyFont="1" applyNumberFormat="1">
      <alignment horizontal="right"/>
    </xf>
    <xf borderId="2" fillId="2" fontId="29" numFmtId="0" xfId="0" applyAlignment="1" applyBorder="1" applyFont="1">
      <alignment horizontal="center" vertical="center"/>
    </xf>
    <xf borderId="41" fillId="5" fontId="32" numFmtId="0" xfId="0" applyAlignment="1" applyBorder="1" applyFill="1" applyFont="1">
      <alignment horizontal="center" vertical="center"/>
    </xf>
    <xf borderId="0" fillId="0" fontId="1" numFmtId="0" xfId="0" applyAlignment="1" applyFont="1">
      <alignment vertical="center"/>
    </xf>
    <xf borderId="46" fillId="6" fontId="32" numFmtId="0" xfId="0" applyAlignment="1" applyBorder="1" applyFill="1" applyFont="1">
      <alignment horizontal="center" shrinkToFit="0" vertical="center" wrapText="1"/>
    </xf>
    <xf borderId="46" fillId="7" fontId="32" numFmtId="0" xfId="0" applyAlignment="1" applyBorder="1" applyFill="1" applyFont="1">
      <alignment horizontal="center" shrinkToFit="0" vertical="center" wrapText="1"/>
    </xf>
    <xf borderId="46" fillId="8" fontId="32" numFmtId="0" xfId="0" applyAlignment="1" applyBorder="1" applyFill="1" applyFont="1">
      <alignment horizontal="center" shrinkToFit="0" vertical="center" wrapText="1"/>
    </xf>
    <xf borderId="47" fillId="0" fontId="14" numFmtId="164" xfId="0" applyAlignment="1" applyBorder="1" applyFont="1" applyNumberFormat="1">
      <alignment horizontal="center"/>
    </xf>
    <xf borderId="45" fillId="0" fontId="16" numFmtId="3" xfId="0" applyAlignment="1" applyBorder="1" applyFont="1" applyNumberFormat="1">
      <alignment horizontal="right"/>
    </xf>
    <xf borderId="0" fillId="0" fontId="21" numFmtId="0" xfId="0" applyFont="1"/>
    <xf borderId="0" fillId="0" fontId="7" numFmtId="0" xfId="0" applyFont="1"/>
    <xf borderId="0" fillId="0" fontId="31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19050</xdr:rowOff>
    </xdr:from>
    <xdr:ext cx="504825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38100</xdr:rowOff>
    </xdr:from>
    <xdr:ext cx="504825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qTQ54xFW5GCrjVb9Ey-VpqV7AsnuNIx3F-20LTn0_hY/export?format=xlsx&amp;gid=525917830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qTQ54xFW5GCrjVb9Ey-VpqV7AsnuNIx3F-20LTn0_hY/export?format=xlsx&amp;gid=233102740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3.0" ySplit="20.0" topLeftCell="D21" activePane="bottomRight" state="frozen"/>
      <selection activeCell="D1" sqref="D1" pane="topRight"/>
      <selection activeCell="A21" sqref="A21" pane="bottomLeft"/>
      <selection activeCell="D21" sqref="D21" pane="bottomRight"/>
    </sheetView>
  </sheetViews>
  <sheetFormatPr customHeight="1" defaultColWidth="11.22" defaultRowHeight="15.0"/>
  <cols>
    <col customWidth="1" min="1" max="1" width="3.78"/>
    <col customWidth="1" min="2" max="2" width="5.11"/>
    <col customWidth="1" min="3" max="3" width="21.56"/>
    <col customWidth="1" min="4" max="4" width="13.78"/>
    <col customWidth="1" min="5" max="5" width="15.67"/>
    <col customWidth="1" min="6" max="7" width="11.22"/>
    <col customWidth="1" min="8" max="8" width="14.33"/>
    <col customWidth="1" min="9" max="9" width="13.56"/>
  </cols>
  <sheetData>
    <row r="1">
      <c r="A1" s="1"/>
      <c r="B1" s="2" t="s">
        <v>0</v>
      </c>
      <c r="C1" s="3"/>
      <c r="D1" s="4"/>
      <c r="E1" s="4"/>
      <c r="F1" s="4"/>
      <c r="G1" s="5"/>
      <c r="H1" s="1"/>
      <c r="I1" s="1"/>
      <c r="J1" s="1"/>
      <c r="K1" s="1"/>
      <c r="L1" s="1"/>
      <c r="M1" s="1"/>
      <c r="N1" s="1"/>
      <c r="O1" s="1"/>
      <c r="P1" s="1"/>
      <c r="Q1" s="1"/>
    </row>
    <row r="2">
      <c r="A2" s="1"/>
      <c r="B2" s="6" t="s">
        <v>1</v>
      </c>
      <c r="C2" s="7"/>
      <c r="D2" s="8"/>
      <c r="E2" s="8"/>
      <c r="F2" s="9"/>
      <c r="G2" s="5"/>
      <c r="H2" s="1"/>
      <c r="I2" s="1"/>
      <c r="J2" s="1"/>
      <c r="K2" s="1"/>
      <c r="L2" s="1"/>
      <c r="M2" s="1"/>
      <c r="N2" s="1"/>
      <c r="O2" s="1"/>
      <c r="P2" s="1"/>
      <c r="Q2" s="1"/>
    </row>
    <row r="3">
      <c r="A3" s="1"/>
      <c r="B3" s="6" t="s">
        <v>2</v>
      </c>
      <c r="C3" s="7"/>
      <c r="D3" s="8"/>
      <c r="E3" s="8"/>
      <c r="F3" s="10"/>
      <c r="G3" s="10"/>
      <c r="H3" s="1"/>
      <c r="I3" s="1"/>
      <c r="J3" s="1"/>
      <c r="K3" s="1"/>
      <c r="L3" s="1"/>
      <c r="M3" s="1"/>
      <c r="N3" s="1"/>
      <c r="O3" s="1"/>
      <c r="P3" s="1"/>
      <c r="Q3" s="1"/>
    </row>
    <row r="4">
      <c r="A4" s="1"/>
      <c r="B4" s="11"/>
      <c r="C4" s="7"/>
      <c r="D4" s="8"/>
      <c r="E4" s="8"/>
      <c r="F4" s="5"/>
      <c r="G4" s="5"/>
      <c r="H4" s="1"/>
      <c r="I4" s="1"/>
      <c r="J4" s="1"/>
      <c r="K4" s="1"/>
      <c r="L4" s="1"/>
      <c r="M4" s="1"/>
      <c r="N4" s="1"/>
      <c r="O4" s="1"/>
      <c r="P4" s="1"/>
      <c r="Q4" s="1"/>
    </row>
    <row r="5" ht="26.25" customHeight="1">
      <c r="A5" s="12"/>
      <c r="B5" s="13"/>
      <c r="C5" s="13"/>
      <c r="D5" s="13"/>
      <c r="E5" s="14"/>
      <c r="F5" s="15"/>
      <c r="G5" s="16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ht="19.5" customHeight="1">
      <c r="A6" s="18"/>
      <c r="B6" s="19" t="s">
        <v>3</v>
      </c>
      <c r="C6" s="20" t="s">
        <v>4</v>
      </c>
      <c r="D6" s="21" t="s">
        <v>5</v>
      </c>
      <c r="E6" s="22" t="s">
        <v>6</v>
      </c>
      <c r="F6" s="23" t="s">
        <v>7</v>
      </c>
      <c r="G6" s="24"/>
      <c r="H6" s="25"/>
      <c r="I6" s="21" t="s">
        <v>8</v>
      </c>
      <c r="J6" s="26"/>
      <c r="K6" s="26"/>
      <c r="L6" s="26"/>
      <c r="M6" s="26"/>
      <c r="N6" s="26"/>
      <c r="O6" s="26"/>
      <c r="P6" s="26"/>
      <c r="Q6" s="26"/>
    </row>
    <row r="7" ht="19.5" customHeight="1">
      <c r="A7" s="18"/>
      <c r="B7" s="27"/>
      <c r="C7" s="28"/>
      <c r="D7" s="29"/>
      <c r="E7" s="29"/>
      <c r="F7" s="30" t="s">
        <v>9</v>
      </c>
      <c r="G7" s="31" t="s">
        <v>10</v>
      </c>
      <c r="H7" s="32" t="s">
        <v>11</v>
      </c>
      <c r="I7" s="29"/>
      <c r="J7" s="26"/>
      <c r="K7" s="26"/>
      <c r="L7" s="26"/>
      <c r="M7" s="26"/>
      <c r="N7" s="26"/>
      <c r="O7" s="26"/>
      <c r="P7" s="26"/>
      <c r="Q7" s="26"/>
    </row>
    <row r="8" ht="19.5" hidden="1" customHeight="1">
      <c r="A8" s="33"/>
      <c r="B8" s="34" t="s">
        <v>3</v>
      </c>
      <c r="C8" s="35" t="s">
        <v>4</v>
      </c>
      <c r="D8" s="21" t="s">
        <v>5</v>
      </c>
      <c r="E8" s="21" t="s">
        <v>12</v>
      </c>
      <c r="F8" s="36" t="s">
        <v>7</v>
      </c>
      <c r="G8" s="37"/>
      <c r="H8" s="38"/>
      <c r="I8" s="39" t="s">
        <v>8</v>
      </c>
      <c r="J8" s="40"/>
      <c r="K8" s="40"/>
      <c r="L8" s="40"/>
      <c r="M8" s="40"/>
      <c r="N8" s="40"/>
      <c r="O8" s="40"/>
      <c r="P8" s="40"/>
      <c r="Q8" s="40"/>
    </row>
    <row r="9" ht="19.5" hidden="1" customHeight="1">
      <c r="A9" s="33"/>
      <c r="B9" s="27"/>
      <c r="C9" s="28"/>
      <c r="D9" s="29"/>
      <c r="E9" s="29"/>
      <c r="F9" s="30" t="s">
        <v>9</v>
      </c>
      <c r="G9" s="31" t="s">
        <v>10</v>
      </c>
      <c r="H9" s="32" t="s">
        <v>11</v>
      </c>
      <c r="I9" s="29"/>
      <c r="J9" s="40"/>
      <c r="K9" s="40"/>
      <c r="L9" s="40"/>
      <c r="M9" s="40"/>
      <c r="N9" s="40"/>
      <c r="O9" s="40"/>
      <c r="P9" s="40"/>
      <c r="Q9" s="40"/>
    </row>
    <row r="10">
      <c r="A10" s="41"/>
      <c r="B10" s="42">
        <v>1.0</v>
      </c>
      <c r="C10" s="43" t="s">
        <v>13</v>
      </c>
      <c r="D10" s="44">
        <v>3672.0</v>
      </c>
      <c r="E10" s="45">
        <v>4107.0</v>
      </c>
      <c r="F10" s="46">
        <v>49.0</v>
      </c>
      <c r="G10" s="47">
        <v>78.0</v>
      </c>
      <c r="H10" s="48">
        <f t="shared" ref="H10:H12" si="1">SUM(F10:G10)</f>
        <v>127</v>
      </c>
      <c r="I10" s="49">
        <f t="shared" ref="I10:I26" si="2">H10/E10*100</f>
        <v>3.092281471</v>
      </c>
    </row>
    <row r="11">
      <c r="A11" s="41"/>
      <c r="B11" s="42">
        <v>2.0</v>
      </c>
      <c r="C11" s="50" t="s">
        <v>14</v>
      </c>
      <c r="D11" s="51">
        <f t="shared" ref="D11:D26" si="3">D10</f>
        <v>3672</v>
      </c>
      <c r="E11" s="45">
        <v>4107.0</v>
      </c>
      <c r="F11" s="46">
        <v>23.0</v>
      </c>
      <c r="G11" s="47">
        <v>67.0</v>
      </c>
      <c r="H11" s="48">
        <f t="shared" si="1"/>
        <v>90</v>
      </c>
      <c r="I11" s="49">
        <f t="shared" si="2"/>
        <v>2.19138057</v>
      </c>
    </row>
    <row r="12">
      <c r="A12" s="41"/>
      <c r="B12" s="42">
        <v>3.0</v>
      </c>
      <c r="C12" s="50" t="s">
        <v>15</v>
      </c>
      <c r="D12" s="51">
        <f t="shared" si="3"/>
        <v>3672</v>
      </c>
      <c r="E12" s="45">
        <v>4107.0</v>
      </c>
      <c r="F12" s="46">
        <v>17.0</v>
      </c>
      <c r="G12" s="47">
        <v>45.0</v>
      </c>
      <c r="H12" s="48">
        <f t="shared" si="1"/>
        <v>62</v>
      </c>
      <c r="I12" s="49">
        <f t="shared" si="2"/>
        <v>1.509617726</v>
      </c>
    </row>
    <row r="13">
      <c r="A13" s="41"/>
      <c r="B13" s="52">
        <v>4.0</v>
      </c>
      <c r="C13" s="53" t="s">
        <v>16</v>
      </c>
      <c r="D13" s="54">
        <f t="shared" si="3"/>
        <v>3672</v>
      </c>
      <c r="E13" s="54">
        <f t="shared" ref="E13:E26" si="5">E12</f>
        <v>4107</v>
      </c>
      <c r="F13" s="55">
        <f t="shared" ref="F13:H13" si="4">SUM(F10:F12)</f>
        <v>89</v>
      </c>
      <c r="G13" s="56">
        <f t="shared" si="4"/>
        <v>190</v>
      </c>
      <c r="H13" s="57">
        <f t="shared" si="4"/>
        <v>279</v>
      </c>
      <c r="I13" s="58">
        <f t="shared" si="2"/>
        <v>6.793279766</v>
      </c>
    </row>
    <row r="14">
      <c r="A14" s="41"/>
      <c r="B14" s="42">
        <v>5.0</v>
      </c>
      <c r="C14" s="50" t="s">
        <v>17</v>
      </c>
      <c r="D14" s="51">
        <f t="shared" si="3"/>
        <v>3672</v>
      </c>
      <c r="E14" s="51">
        <f t="shared" si="5"/>
        <v>4107</v>
      </c>
      <c r="F14" s="46">
        <v>19.0</v>
      </c>
      <c r="G14" s="47">
        <v>32.0</v>
      </c>
      <c r="H14" s="48">
        <f t="shared" ref="H14:H16" si="6">SUM(F14:G14)</f>
        <v>51</v>
      </c>
      <c r="I14" s="49">
        <f t="shared" si="2"/>
        <v>1.241782323</v>
      </c>
    </row>
    <row r="15">
      <c r="A15" s="41"/>
      <c r="B15" s="42">
        <v>6.0</v>
      </c>
      <c r="C15" s="50" t="s">
        <v>18</v>
      </c>
      <c r="D15" s="51">
        <f t="shared" si="3"/>
        <v>3672</v>
      </c>
      <c r="E15" s="51">
        <f t="shared" si="5"/>
        <v>4107</v>
      </c>
      <c r="F15" s="46">
        <v>12.0</v>
      </c>
      <c r="G15" s="47">
        <v>27.0</v>
      </c>
      <c r="H15" s="48">
        <f t="shared" si="6"/>
        <v>39</v>
      </c>
      <c r="I15" s="49">
        <f t="shared" si="2"/>
        <v>0.9495982469</v>
      </c>
    </row>
    <row r="16">
      <c r="A16" s="41"/>
      <c r="B16" s="59">
        <v>7.0</v>
      </c>
      <c r="C16" s="50" t="s">
        <v>19</v>
      </c>
      <c r="D16" s="51">
        <f t="shared" si="3"/>
        <v>3672</v>
      </c>
      <c r="E16" s="51">
        <f t="shared" si="5"/>
        <v>4107</v>
      </c>
      <c r="F16" s="46">
        <v>10.0</v>
      </c>
      <c r="G16" s="47">
        <v>20.0</v>
      </c>
      <c r="H16" s="48">
        <f t="shared" si="6"/>
        <v>30</v>
      </c>
      <c r="I16" s="49">
        <f t="shared" si="2"/>
        <v>0.7304601899</v>
      </c>
    </row>
    <row r="17">
      <c r="A17" s="41"/>
      <c r="B17" s="52">
        <v>8.0</v>
      </c>
      <c r="C17" s="53" t="s">
        <v>20</v>
      </c>
      <c r="D17" s="54">
        <f t="shared" si="3"/>
        <v>3672</v>
      </c>
      <c r="E17" s="54">
        <f t="shared" si="5"/>
        <v>4107</v>
      </c>
      <c r="F17" s="55">
        <f t="shared" ref="F17:H17" si="7">SUM(F14:F16)</f>
        <v>41</v>
      </c>
      <c r="G17" s="56">
        <f t="shared" si="7"/>
        <v>79</v>
      </c>
      <c r="H17" s="57">
        <f t="shared" si="7"/>
        <v>120</v>
      </c>
      <c r="I17" s="58">
        <f t="shared" si="2"/>
        <v>2.92184076</v>
      </c>
    </row>
    <row r="18">
      <c r="A18" s="41"/>
      <c r="B18" s="42">
        <v>9.0</v>
      </c>
      <c r="C18" s="50" t="s">
        <v>21</v>
      </c>
      <c r="D18" s="51">
        <f t="shared" si="3"/>
        <v>3672</v>
      </c>
      <c r="E18" s="51">
        <f t="shared" si="5"/>
        <v>4107</v>
      </c>
      <c r="F18" s="46">
        <v>11.0</v>
      </c>
      <c r="G18" s="47">
        <v>18.0</v>
      </c>
      <c r="H18" s="48">
        <f t="shared" ref="H18:H20" si="8">SUM(F18:G18)</f>
        <v>29</v>
      </c>
      <c r="I18" s="49">
        <f t="shared" si="2"/>
        <v>0.7061115169</v>
      </c>
    </row>
    <row r="19">
      <c r="A19" s="41"/>
      <c r="B19" s="42">
        <v>10.0</v>
      </c>
      <c r="C19" s="50" t="s">
        <v>22</v>
      </c>
      <c r="D19" s="51">
        <f t="shared" si="3"/>
        <v>3672</v>
      </c>
      <c r="E19" s="51">
        <f t="shared" si="5"/>
        <v>4107</v>
      </c>
      <c r="F19" s="46">
        <v>7.0</v>
      </c>
      <c r="G19" s="47">
        <v>14.0</v>
      </c>
      <c r="H19" s="48">
        <f t="shared" si="8"/>
        <v>21</v>
      </c>
      <c r="I19" s="49">
        <f t="shared" si="2"/>
        <v>0.5113221329</v>
      </c>
    </row>
    <row r="20">
      <c r="A20" s="41"/>
      <c r="B20" s="42">
        <v>11.0</v>
      </c>
      <c r="C20" s="50" t="s">
        <v>23</v>
      </c>
      <c r="D20" s="51">
        <f t="shared" si="3"/>
        <v>3672</v>
      </c>
      <c r="E20" s="51">
        <f t="shared" si="5"/>
        <v>4107</v>
      </c>
      <c r="F20" s="46">
        <v>9.0</v>
      </c>
      <c r="G20" s="47">
        <v>16.0</v>
      </c>
      <c r="H20" s="48">
        <f t="shared" si="8"/>
        <v>25</v>
      </c>
      <c r="I20" s="49">
        <f t="shared" si="2"/>
        <v>0.6087168249</v>
      </c>
      <c r="K20" s="60"/>
      <c r="L20" s="60"/>
    </row>
    <row r="21" ht="15.75" customHeight="1">
      <c r="A21" s="41"/>
      <c r="B21" s="52">
        <v>12.0</v>
      </c>
      <c r="C21" s="53" t="s">
        <v>24</v>
      </c>
      <c r="D21" s="54">
        <f t="shared" si="3"/>
        <v>3672</v>
      </c>
      <c r="E21" s="54">
        <f t="shared" si="5"/>
        <v>4107</v>
      </c>
      <c r="F21" s="55">
        <f t="shared" ref="F21:H21" si="9">SUM(F18:F20)</f>
        <v>27</v>
      </c>
      <c r="G21" s="56">
        <f t="shared" si="9"/>
        <v>48</v>
      </c>
      <c r="H21" s="57">
        <f t="shared" si="9"/>
        <v>75</v>
      </c>
      <c r="I21" s="58">
        <f t="shared" si="2"/>
        <v>1.826150475</v>
      </c>
      <c r="K21" s="60"/>
      <c r="L21" s="60"/>
    </row>
    <row r="22" ht="15.75" customHeight="1">
      <c r="A22" s="41"/>
      <c r="B22" s="42">
        <v>13.0</v>
      </c>
      <c r="C22" s="50" t="s">
        <v>25</v>
      </c>
      <c r="D22" s="51">
        <f t="shared" si="3"/>
        <v>3672</v>
      </c>
      <c r="E22" s="51">
        <f t="shared" si="5"/>
        <v>4107</v>
      </c>
      <c r="F22" s="46">
        <v>12.0</v>
      </c>
      <c r="G22" s="47">
        <v>17.0</v>
      </c>
      <c r="H22" s="48">
        <f t="shared" ref="H22:H24" si="10">SUM(F22:G22)</f>
        <v>29</v>
      </c>
      <c r="I22" s="49">
        <f t="shared" si="2"/>
        <v>0.7061115169</v>
      </c>
    </row>
    <row r="23" ht="15.75" customHeight="1">
      <c r="A23" s="41"/>
      <c r="B23" s="42">
        <v>14.0</v>
      </c>
      <c r="C23" s="50" t="s">
        <v>26</v>
      </c>
      <c r="D23" s="51">
        <f t="shared" si="3"/>
        <v>3672</v>
      </c>
      <c r="E23" s="51">
        <f t="shared" si="5"/>
        <v>4107</v>
      </c>
      <c r="F23" s="46">
        <v>10.0</v>
      </c>
      <c r="G23" s="47">
        <v>16.0</v>
      </c>
      <c r="H23" s="48">
        <f t="shared" si="10"/>
        <v>26</v>
      </c>
      <c r="I23" s="49">
        <f t="shared" si="2"/>
        <v>0.6330654979</v>
      </c>
    </row>
    <row r="24" ht="15.75" customHeight="1">
      <c r="A24" s="41"/>
      <c r="B24" s="42">
        <v>15.0</v>
      </c>
      <c r="C24" s="50" t="s">
        <v>27</v>
      </c>
      <c r="D24" s="51">
        <f t="shared" si="3"/>
        <v>3672</v>
      </c>
      <c r="E24" s="51">
        <f t="shared" si="5"/>
        <v>4107</v>
      </c>
      <c r="F24" s="46">
        <v>9.0</v>
      </c>
      <c r="G24" s="47">
        <v>15.0</v>
      </c>
      <c r="H24" s="48">
        <f t="shared" si="10"/>
        <v>24</v>
      </c>
      <c r="I24" s="49">
        <f t="shared" si="2"/>
        <v>0.5843681519</v>
      </c>
    </row>
    <row r="25" ht="15.75" customHeight="1">
      <c r="A25" s="41"/>
      <c r="B25" s="61">
        <v>16.0</v>
      </c>
      <c r="C25" s="62" t="s">
        <v>28</v>
      </c>
      <c r="D25" s="63">
        <f t="shared" si="3"/>
        <v>3672</v>
      </c>
      <c r="E25" s="63">
        <f t="shared" si="5"/>
        <v>4107</v>
      </c>
      <c r="F25" s="64">
        <f t="shared" ref="F25:H25" si="11">SUM(F22:F24)</f>
        <v>31</v>
      </c>
      <c r="G25" s="65">
        <f t="shared" si="11"/>
        <v>48</v>
      </c>
      <c r="H25" s="66">
        <f t="shared" si="11"/>
        <v>79</v>
      </c>
      <c r="I25" s="67">
        <f t="shared" si="2"/>
        <v>1.923545167</v>
      </c>
    </row>
    <row r="26" ht="24.75" customHeight="1">
      <c r="A26" s="68"/>
      <c r="B26" s="69" t="s">
        <v>29</v>
      </c>
      <c r="C26" s="70"/>
      <c r="D26" s="71">
        <f t="shared" si="3"/>
        <v>3672</v>
      </c>
      <c r="E26" s="71">
        <f t="shared" si="5"/>
        <v>4107</v>
      </c>
      <c r="F26" s="72">
        <f t="shared" ref="F26:H26" si="12">SUM(F25,F21,F17,F13)</f>
        <v>188</v>
      </c>
      <c r="G26" s="73">
        <f t="shared" si="12"/>
        <v>365</v>
      </c>
      <c r="H26" s="74">
        <f t="shared" si="12"/>
        <v>553</v>
      </c>
      <c r="I26" s="75">
        <f t="shared" si="2"/>
        <v>13.46481617</v>
      </c>
      <c r="J26" s="76"/>
      <c r="K26" s="76"/>
      <c r="L26" s="76"/>
      <c r="M26" s="76"/>
      <c r="N26" s="76"/>
      <c r="O26" s="76"/>
      <c r="P26" s="76"/>
      <c r="Q26" s="76"/>
    </row>
    <row r="27" ht="15.75" customHeight="1">
      <c r="A27" s="77"/>
      <c r="B27" s="77"/>
      <c r="C27" s="78"/>
      <c r="D27" s="78"/>
      <c r="E27" s="78"/>
      <c r="F27" s="79"/>
      <c r="G27" s="79"/>
    </row>
    <row r="28" ht="15.75" customHeight="1">
      <c r="A28" s="77"/>
      <c r="B28" s="77"/>
      <c r="C28" s="78"/>
      <c r="D28" s="78"/>
      <c r="E28" s="78"/>
      <c r="F28" s="79"/>
      <c r="G28" s="79"/>
    </row>
    <row r="29" ht="15.75" customHeight="1">
      <c r="A29" s="78"/>
      <c r="B29" s="78"/>
      <c r="C29" s="78"/>
      <c r="D29" s="78"/>
      <c r="E29" s="78"/>
      <c r="F29" s="79"/>
      <c r="G29" s="79"/>
    </row>
    <row r="30" ht="15.75" customHeight="1">
      <c r="A30" s="80"/>
      <c r="B30" s="80"/>
    </row>
    <row r="31" ht="15.75" customHeight="1">
      <c r="A31" s="80"/>
      <c r="B31" s="80"/>
    </row>
    <row r="32" ht="15.75" customHeight="1">
      <c r="A32" s="80"/>
      <c r="B32" s="80"/>
    </row>
    <row r="33" ht="15.75" customHeight="1">
      <c r="A33" s="80"/>
      <c r="B33" s="80"/>
    </row>
    <row r="34" ht="15.75" customHeight="1">
      <c r="A34" s="80"/>
      <c r="B34" s="80"/>
    </row>
    <row r="35" ht="15.75" customHeight="1">
      <c r="A35" s="80"/>
      <c r="B35" s="80"/>
    </row>
    <row r="36" ht="15.75" customHeight="1">
      <c r="A36" s="80"/>
      <c r="B36" s="80"/>
    </row>
    <row r="37" ht="15.75" customHeight="1">
      <c r="A37" s="80"/>
      <c r="B37" s="80"/>
    </row>
    <row r="38" ht="15.75" customHeight="1">
      <c r="A38" s="80"/>
      <c r="B38" s="80"/>
    </row>
    <row r="39" ht="15.75" customHeight="1">
      <c r="A39" s="80"/>
      <c r="B39" s="80"/>
    </row>
    <row r="40" ht="15.75" customHeight="1">
      <c r="A40" s="80"/>
      <c r="B40" s="80"/>
    </row>
    <row r="41" ht="15.75" customHeight="1">
      <c r="A41" s="80"/>
      <c r="B41" s="80"/>
    </row>
    <row r="42" ht="15.75" customHeight="1">
      <c r="A42" s="80"/>
      <c r="B42" s="80"/>
    </row>
    <row r="43" ht="15.75" customHeight="1">
      <c r="A43" s="80"/>
      <c r="B43" s="80"/>
    </row>
    <row r="44" ht="15.75" customHeight="1">
      <c r="A44" s="80"/>
      <c r="B44" s="80"/>
    </row>
    <row r="45" ht="15.75" customHeight="1">
      <c r="A45" s="80"/>
      <c r="B45" s="80"/>
    </row>
    <row r="46" ht="15.75" customHeight="1">
      <c r="A46" s="80"/>
      <c r="B46" s="80"/>
    </row>
    <row r="47" ht="15.75" customHeight="1">
      <c r="A47" s="80"/>
      <c r="B47" s="80"/>
    </row>
    <row r="48" ht="15.75" customHeight="1">
      <c r="A48" s="80"/>
      <c r="B48" s="80"/>
    </row>
    <row r="49" ht="15.75" customHeight="1">
      <c r="A49" s="80"/>
      <c r="B49" s="80"/>
    </row>
    <row r="50" ht="15.75" customHeight="1">
      <c r="A50" s="80"/>
      <c r="B50" s="80"/>
    </row>
    <row r="51" ht="15.75" customHeight="1">
      <c r="A51" s="80"/>
      <c r="B51" s="80"/>
    </row>
    <row r="52" ht="15.75" customHeight="1">
      <c r="A52" s="80"/>
      <c r="B52" s="80"/>
    </row>
    <row r="53" ht="15.75" customHeight="1">
      <c r="A53" s="80"/>
      <c r="B53" s="80"/>
    </row>
    <row r="54" ht="15.75" customHeight="1">
      <c r="A54" s="80"/>
      <c r="B54" s="80"/>
    </row>
    <row r="55" ht="15.75" customHeight="1">
      <c r="A55" s="80"/>
      <c r="B55" s="80"/>
    </row>
    <row r="56" ht="15.75" customHeight="1">
      <c r="A56" s="80"/>
      <c r="B56" s="80"/>
    </row>
    <row r="57" ht="15.75" customHeight="1">
      <c r="A57" s="80"/>
      <c r="B57" s="80"/>
    </row>
    <row r="58" ht="15.75" customHeight="1">
      <c r="A58" s="80"/>
      <c r="B58" s="80"/>
    </row>
    <row r="59" ht="15.75" customHeight="1">
      <c r="A59" s="80"/>
      <c r="B59" s="80"/>
    </row>
    <row r="60" ht="15.75" customHeight="1">
      <c r="A60" s="80"/>
      <c r="B60" s="80"/>
    </row>
    <row r="61" ht="15.75" customHeight="1">
      <c r="A61" s="80"/>
      <c r="B61" s="80"/>
    </row>
    <row r="62" ht="15.75" customHeight="1">
      <c r="A62" s="80"/>
      <c r="B62" s="80"/>
    </row>
    <row r="63" ht="15.75" customHeight="1">
      <c r="A63" s="80"/>
      <c r="B63" s="80"/>
    </row>
    <row r="64" ht="15.75" customHeight="1">
      <c r="A64" s="80"/>
      <c r="B64" s="80"/>
    </row>
    <row r="65" ht="15.75" customHeight="1">
      <c r="A65" s="80"/>
      <c r="B65" s="80"/>
    </row>
    <row r="66" ht="15.75" customHeight="1">
      <c r="A66" s="80"/>
      <c r="B66" s="80"/>
    </row>
    <row r="67" ht="15.75" customHeight="1">
      <c r="A67" s="80"/>
      <c r="B67" s="80"/>
    </row>
    <row r="68" ht="15.75" customHeight="1">
      <c r="A68" s="80"/>
      <c r="B68" s="80"/>
    </row>
    <row r="69" ht="15.75" customHeight="1">
      <c r="A69" s="80"/>
      <c r="B69" s="80"/>
    </row>
    <row r="70" ht="15.75" customHeight="1">
      <c r="A70" s="80"/>
      <c r="B70" s="80"/>
    </row>
    <row r="71" ht="15.75" customHeight="1">
      <c r="A71" s="80"/>
      <c r="B71" s="80"/>
    </row>
    <row r="72" ht="15.75" customHeight="1">
      <c r="A72" s="80"/>
      <c r="B72" s="80"/>
    </row>
    <row r="73" ht="15.75" customHeight="1">
      <c r="A73" s="80"/>
      <c r="B73" s="80"/>
    </row>
    <row r="74" ht="15.75" customHeight="1">
      <c r="A74" s="80"/>
      <c r="B74" s="80"/>
    </row>
    <row r="75" ht="15.75" customHeight="1">
      <c r="A75" s="80"/>
      <c r="B75" s="80"/>
    </row>
    <row r="76" ht="15.75" customHeight="1">
      <c r="A76" s="80"/>
      <c r="B76" s="80"/>
    </row>
    <row r="77" ht="15.75" customHeight="1">
      <c r="A77" s="80"/>
      <c r="B77" s="80"/>
    </row>
    <row r="78" ht="15.75" customHeight="1">
      <c r="A78" s="80"/>
      <c r="B78" s="80"/>
    </row>
    <row r="79" ht="15.75" customHeight="1">
      <c r="A79" s="80"/>
      <c r="B79" s="80"/>
    </row>
    <row r="80" ht="15.75" customHeight="1">
      <c r="A80" s="80"/>
      <c r="B80" s="80"/>
    </row>
    <row r="81" ht="15.75" customHeight="1">
      <c r="A81" s="80"/>
      <c r="B81" s="80"/>
    </row>
    <row r="82" ht="15.75" customHeight="1">
      <c r="A82" s="80"/>
      <c r="B82" s="80"/>
    </row>
    <row r="83" ht="15.75" customHeight="1">
      <c r="A83" s="80"/>
      <c r="B83" s="80"/>
    </row>
    <row r="84" ht="15.75" customHeight="1">
      <c r="A84" s="80"/>
      <c r="B84" s="80"/>
    </row>
    <row r="85" ht="15.75" customHeight="1">
      <c r="A85" s="80"/>
      <c r="B85" s="80"/>
    </row>
    <row r="86" ht="15.75" customHeight="1">
      <c r="A86" s="80"/>
      <c r="B86" s="80"/>
    </row>
    <row r="87" ht="15.75" customHeight="1">
      <c r="A87" s="80"/>
      <c r="B87" s="80"/>
    </row>
    <row r="88" ht="15.75" customHeight="1">
      <c r="A88" s="80"/>
      <c r="B88" s="80"/>
    </row>
    <row r="89" ht="15.75" customHeight="1">
      <c r="A89" s="80"/>
      <c r="B89" s="80"/>
    </row>
    <row r="90" ht="15.75" customHeight="1">
      <c r="A90" s="80"/>
      <c r="B90" s="80"/>
    </row>
    <row r="91" ht="15.75" customHeight="1">
      <c r="A91" s="80"/>
      <c r="B91" s="80"/>
    </row>
    <row r="92" ht="15.75" customHeight="1">
      <c r="A92" s="80"/>
      <c r="B92" s="80"/>
    </row>
    <row r="93" ht="15.75" customHeight="1">
      <c r="A93" s="80"/>
      <c r="B93" s="80"/>
    </row>
    <row r="94" ht="15.75" customHeight="1">
      <c r="A94" s="80"/>
      <c r="B94" s="80"/>
    </row>
    <row r="95" ht="15.75" customHeight="1">
      <c r="A95" s="80"/>
      <c r="B95" s="80"/>
    </row>
    <row r="96" ht="15.75" customHeight="1">
      <c r="A96" s="80"/>
      <c r="B96" s="80"/>
    </row>
    <row r="97" ht="15.75" customHeight="1">
      <c r="A97" s="80"/>
      <c r="B97" s="80"/>
    </row>
    <row r="98" ht="15.75" customHeight="1">
      <c r="A98" s="80"/>
      <c r="B98" s="80"/>
    </row>
    <row r="99" ht="15.75" customHeight="1">
      <c r="A99" s="80"/>
      <c r="B99" s="80"/>
    </row>
    <row r="100" ht="15.75" customHeight="1">
      <c r="A100" s="80"/>
      <c r="B100" s="80"/>
    </row>
    <row r="101" ht="15.75" customHeight="1">
      <c r="A101" s="80"/>
      <c r="B101" s="80"/>
    </row>
    <row r="102" ht="15.75" customHeight="1">
      <c r="A102" s="80"/>
      <c r="B102" s="80"/>
    </row>
    <row r="103" ht="15.75" customHeight="1">
      <c r="A103" s="80"/>
      <c r="B103" s="80"/>
    </row>
    <row r="104" ht="15.75" customHeight="1">
      <c r="A104" s="80"/>
      <c r="B104" s="80"/>
    </row>
    <row r="105" ht="15.75" customHeight="1">
      <c r="A105" s="80"/>
      <c r="B105" s="80"/>
    </row>
    <row r="106" ht="15.75" customHeight="1">
      <c r="A106" s="80"/>
      <c r="B106" s="80"/>
    </row>
    <row r="107" ht="15.75" customHeight="1">
      <c r="A107" s="80"/>
      <c r="B107" s="80"/>
    </row>
    <row r="108" ht="15.75" customHeight="1">
      <c r="A108" s="80"/>
      <c r="B108" s="80"/>
    </row>
    <row r="109" ht="15.75" customHeight="1">
      <c r="A109" s="80"/>
      <c r="B109" s="80"/>
    </row>
    <row r="110" ht="15.75" customHeight="1">
      <c r="A110" s="80"/>
      <c r="B110" s="80"/>
    </row>
    <row r="111" ht="15.75" customHeight="1">
      <c r="A111" s="80"/>
      <c r="B111" s="80"/>
    </row>
    <row r="112" ht="15.75" customHeight="1">
      <c r="A112" s="80"/>
      <c r="B112" s="80"/>
    </row>
    <row r="113" ht="15.75" customHeight="1">
      <c r="A113" s="80"/>
      <c r="B113" s="80"/>
    </row>
    <row r="114" ht="15.75" customHeight="1">
      <c r="A114" s="80"/>
      <c r="B114" s="80"/>
    </row>
    <row r="115" ht="15.75" customHeight="1">
      <c r="A115" s="80"/>
      <c r="B115" s="80"/>
    </row>
    <row r="116" ht="15.75" customHeight="1">
      <c r="A116" s="80"/>
      <c r="B116" s="80"/>
    </row>
    <row r="117" ht="15.75" customHeight="1">
      <c r="A117" s="80"/>
      <c r="B117" s="80"/>
    </row>
    <row r="118" ht="15.75" customHeight="1">
      <c r="A118" s="80"/>
      <c r="B118" s="80"/>
    </row>
    <row r="119" ht="15.75" customHeight="1">
      <c r="A119" s="80"/>
      <c r="B119" s="80"/>
    </row>
    <row r="120" ht="15.75" customHeight="1">
      <c r="A120" s="80"/>
      <c r="B120" s="80"/>
    </row>
    <row r="121" ht="15.75" customHeight="1">
      <c r="A121" s="80"/>
      <c r="B121" s="80"/>
    </row>
    <row r="122" ht="15.75" customHeight="1">
      <c r="A122" s="80"/>
      <c r="B122" s="80"/>
    </row>
    <row r="123" ht="15.75" customHeight="1">
      <c r="A123" s="80"/>
      <c r="B123" s="80"/>
    </row>
    <row r="124" ht="15.75" customHeight="1">
      <c r="A124" s="80"/>
      <c r="B124" s="80"/>
    </row>
    <row r="125" ht="15.75" customHeight="1">
      <c r="A125" s="80"/>
      <c r="B125" s="80"/>
    </row>
    <row r="126" ht="15.75" customHeight="1">
      <c r="A126" s="80"/>
      <c r="B126" s="80"/>
    </row>
    <row r="127" ht="15.75" customHeight="1">
      <c r="A127" s="80"/>
      <c r="B127" s="80"/>
    </row>
    <row r="128" ht="15.75" customHeight="1">
      <c r="A128" s="80"/>
      <c r="B128" s="80"/>
    </row>
    <row r="129" ht="15.75" customHeight="1">
      <c r="A129" s="80"/>
      <c r="B129" s="80"/>
    </row>
    <row r="130" ht="15.75" customHeight="1">
      <c r="A130" s="80"/>
      <c r="B130" s="80"/>
    </row>
    <row r="131" ht="15.75" customHeight="1">
      <c r="A131" s="80"/>
      <c r="B131" s="80"/>
    </row>
    <row r="132" ht="15.75" customHeight="1">
      <c r="A132" s="80"/>
      <c r="B132" s="80"/>
    </row>
    <row r="133" ht="15.75" customHeight="1">
      <c r="A133" s="80"/>
      <c r="B133" s="80"/>
    </row>
    <row r="134" ht="15.75" customHeight="1">
      <c r="A134" s="80"/>
      <c r="B134" s="80"/>
    </row>
    <row r="135" ht="15.75" customHeight="1">
      <c r="A135" s="80"/>
      <c r="B135" s="80"/>
    </row>
    <row r="136" ht="15.75" customHeight="1">
      <c r="A136" s="80"/>
      <c r="B136" s="80"/>
    </row>
    <row r="137" ht="15.75" customHeight="1">
      <c r="A137" s="80"/>
      <c r="B137" s="80"/>
    </row>
    <row r="138" ht="15.75" customHeight="1">
      <c r="A138" s="80"/>
      <c r="B138" s="80"/>
    </row>
    <row r="139" ht="15.75" customHeight="1">
      <c r="A139" s="80"/>
      <c r="B139" s="80"/>
    </row>
    <row r="140" ht="15.75" customHeight="1">
      <c r="A140" s="80"/>
      <c r="B140" s="80"/>
    </row>
    <row r="141" ht="15.75" customHeight="1">
      <c r="A141" s="80"/>
      <c r="B141" s="80"/>
    </row>
    <row r="142" ht="15.75" customHeight="1">
      <c r="A142" s="80"/>
      <c r="B142" s="80"/>
    </row>
    <row r="143" ht="15.75" customHeight="1">
      <c r="A143" s="80"/>
      <c r="B143" s="80"/>
    </row>
    <row r="144" ht="15.75" customHeight="1">
      <c r="A144" s="80"/>
      <c r="B144" s="80"/>
    </row>
    <row r="145" ht="15.75" customHeight="1">
      <c r="A145" s="80"/>
      <c r="B145" s="80"/>
    </row>
    <row r="146" ht="15.75" customHeight="1">
      <c r="A146" s="80"/>
      <c r="B146" s="80"/>
    </row>
    <row r="147" ht="15.75" customHeight="1">
      <c r="A147" s="80"/>
      <c r="B147" s="80"/>
    </row>
    <row r="148" ht="15.75" customHeight="1">
      <c r="A148" s="80"/>
      <c r="B148" s="80"/>
    </row>
    <row r="149" ht="15.75" customHeight="1">
      <c r="A149" s="80"/>
      <c r="B149" s="80"/>
    </row>
    <row r="150" ht="15.75" customHeight="1">
      <c r="A150" s="80"/>
      <c r="B150" s="80"/>
    </row>
    <row r="151" ht="15.75" customHeight="1">
      <c r="A151" s="80"/>
      <c r="B151" s="80"/>
    </row>
    <row r="152" ht="15.75" customHeight="1">
      <c r="A152" s="80"/>
      <c r="B152" s="80"/>
    </row>
    <row r="153" ht="15.75" customHeight="1">
      <c r="A153" s="80"/>
      <c r="B153" s="80"/>
    </row>
    <row r="154" ht="15.75" customHeight="1">
      <c r="A154" s="80"/>
      <c r="B154" s="80"/>
    </row>
    <row r="155" ht="15.75" customHeight="1">
      <c r="A155" s="80"/>
      <c r="B155" s="80"/>
    </row>
    <row r="156" ht="15.75" customHeight="1">
      <c r="A156" s="80"/>
      <c r="B156" s="80"/>
    </row>
    <row r="157" ht="15.75" customHeight="1">
      <c r="A157" s="80"/>
      <c r="B157" s="80"/>
    </row>
    <row r="158" ht="15.75" customHeight="1">
      <c r="A158" s="80"/>
      <c r="B158" s="80"/>
    </row>
    <row r="159" ht="15.75" customHeight="1">
      <c r="A159" s="80"/>
      <c r="B159" s="80"/>
    </row>
    <row r="160" ht="15.75" customHeight="1">
      <c r="A160" s="80"/>
      <c r="B160" s="80"/>
    </row>
    <row r="161" ht="15.75" customHeight="1">
      <c r="A161" s="80"/>
      <c r="B161" s="80"/>
    </row>
    <row r="162" ht="15.75" customHeight="1">
      <c r="A162" s="80"/>
      <c r="B162" s="80"/>
    </row>
    <row r="163" ht="15.75" customHeight="1">
      <c r="A163" s="80"/>
      <c r="B163" s="80"/>
    </row>
    <row r="164" ht="15.75" customHeight="1">
      <c r="A164" s="80"/>
      <c r="B164" s="80"/>
    </row>
    <row r="165" ht="15.75" customHeight="1">
      <c r="A165" s="80"/>
      <c r="B165" s="80"/>
    </row>
    <row r="166" ht="15.75" customHeight="1">
      <c r="A166" s="80"/>
      <c r="B166" s="80"/>
    </row>
    <row r="167" ht="15.75" customHeight="1">
      <c r="A167" s="80"/>
      <c r="B167" s="80"/>
    </row>
    <row r="168" ht="15.75" customHeight="1">
      <c r="A168" s="80"/>
      <c r="B168" s="80"/>
    </row>
    <row r="169" ht="15.75" customHeight="1">
      <c r="A169" s="80"/>
      <c r="B169" s="80"/>
    </row>
    <row r="170" ht="15.75" customHeight="1">
      <c r="A170" s="80"/>
      <c r="B170" s="80"/>
    </row>
    <row r="171" ht="15.75" customHeight="1">
      <c r="A171" s="80"/>
      <c r="B171" s="80"/>
    </row>
    <row r="172" ht="15.75" customHeight="1">
      <c r="A172" s="80"/>
      <c r="B172" s="80"/>
    </row>
    <row r="173" ht="15.75" customHeight="1">
      <c r="A173" s="80"/>
      <c r="B173" s="80"/>
    </row>
    <row r="174" ht="15.75" customHeight="1">
      <c r="A174" s="80"/>
      <c r="B174" s="80"/>
    </row>
    <row r="175" ht="15.75" customHeight="1">
      <c r="A175" s="80"/>
      <c r="B175" s="80"/>
    </row>
    <row r="176" ht="15.75" customHeight="1">
      <c r="A176" s="80"/>
      <c r="B176" s="80"/>
    </row>
    <row r="177" ht="15.75" customHeight="1">
      <c r="A177" s="80"/>
      <c r="B177" s="80"/>
    </row>
    <row r="178" ht="15.75" customHeight="1">
      <c r="A178" s="80"/>
      <c r="B178" s="80"/>
    </row>
    <row r="179" ht="15.75" customHeight="1">
      <c r="A179" s="80"/>
      <c r="B179" s="80"/>
    </row>
    <row r="180" ht="15.75" customHeight="1">
      <c r="A180" s="80"/>
      <c r="B180" s="80"/>
    </row>
    <row r="181" ht="15.75" customHeight="1">
      <c r="A181" s="80"/>
      <c r="B181" s="80"/>
    </row>
    <row r="182" ht="15.75" customHeight="1">
      <c r="A182" s="80"/>
      <c r="B182" s="80"/>
    </row>
    <row r="183" ht="15.75" customHeight="1">
      <c r="A183" s="80"/>
      <c r="B183" s="80"/>
    </row>
    <row r="184" ht="15.75" customHeight="1">
      <c r="A184" s="80"/>
      <c r="B184" s="80"/>
    </row>
    <row r="185" ht="15.75" customHeight="1">
      <c r="A185" s="80"/>
      <c r="B185" s="80"/>
    </row>
    <row r="186" ht="15.75" customHeight="1">
      <c r="A186" s="80"/>
      <c r="B186" s="80"/>
    </row>
    <row r="187" ht="15.75" customHeight="1">
      <c r="A187" s="80"/>
      <c r="B187" s="80"/>
    </row>
    <row r="188" ht="15.75" customHeight="1">
      <c r="A188" s="80"/>
      <c r="B188" s="80"/>
    </row>
    <row r="189" ht="15.75" customHeight="1">
      <c r="A189" s="80"/>
      <c r="B189" s="80"/>
    </row>
    <row r="190" ht="15.75" customHeight="1">
      <c r="A190" s="80"/>
      <c r="B190" s="80"/>
    </row>
    <row r="191" ht="15.75" customHeight="1">
      <c r="A191" s="80"/>
      <c r="B191" s="80"/>
    </row>
    <row r="192" ht="15.75" customHeight="1">
      <c r="A192" s="80"/>
      <c r="B192" s="80"/>
    </row>
    <row r="193" ht="15.75" customHeight="1">
      <c r="A193" s="80"/>
      <c r="B193" s="80"/>
    </row>
    <row r="194" ht="15.75" customHeight="1">
      <c r="A194" s="80"/>
      <c r="B194" s="80"/>
    </row>
    <row r="195" ht="15.75" customHeight="1">
      <c r="A195" s="80"/>
      <c r="B195" s="80"/>
    </row>
    <row r="196" ht="15.75" customHeight="1">
      <c r="A196" s="80"/>
      <c r="B196" s="80"/>
    </row>
    <row r="197" ht="15.75" customHeight="1">
      <c r="A197" s="80"/>
      <c r="B197" s="80"/>
    </row>
    <row r="198" ht="15.75" customHeight="1">
      <c r="A198" s="80"/>
      <c r="B198" s="80"/>
    </row>
    <row r="199" ht="15.75" customHeight="1">
      <c r="A199" s="80"/>
      <c r="B199" s="80"/>
    </row>
    <row r="200" ht="15.75" customHeight="1">
      <c r="A200" s="80"/>
      <c r="B200" s="80"/>
    </row>
    <row r="201" ht="15.75" customHeight="1">
      <c r="A201" s="80"/>
      <c r="B201" s="80"/>
    </row>
    <row r="202" ht="15.75" customHeight="1">
      <c r="A202" s="80"/>
      <c r="B202" s="80"/>
    </row>
    <row r="203" ht="15.75" customHeight="1">
      <c r="A203" s="80"/>
      <c r="B203" s="80"/>
    </row>
    <row r="204" ht="15.75" customHeight="1">
      <c r="A204" s="80"/>
      <c r="B204" s="80"/>
    </row>
    <row r="205" ht="15.75" customHeight="1">
      <c r="A205" s="80"/>
      <c r="B205" s="80"/>
    </row>
    <row r="206" ht="15.75" customHeight="1">
      <c r="A206" s="80"/>
      <c r="B206" s="80"/>
    </row>
    <row r="207" ht="15.75" customHeight="1">
      <c r="A207" s="80"/>
      <c r="B207" s="80"/>
    </row>
    <row r="208" ht="15.75" customHeight="1">
      <c r="A208" s="80"/>
      <c r="B208" s="80"/>
    </row>
    <row r="209" ht="15.75" customHeight="1">
      <c r="A209" s="80"/>
      <c r="B209" s="80"/>
    </row>
    <row r="210" ht="15.75" customHeight="1">
      <c r="A210" s="80"/>
      <c r="B210" s="80"/>
    </row>
    <row r="211" ht="15.75" customHeight="1">
      <c r="A211" s="80"/>
      <c r="B211" s="80"/>
    </row>
    <row r="212" ht="15.75" customHeight="1">
      <c r="A212" s="80"/>
      <c r="B212" s="80"/>
    </row>
    <row r="213" ht="15.75" customHeight="1">
      <c r="A213" s="80"/>
      <c r="B213" s="80"/>
    </row>
    <row r="214" ht="15.75" customHeight="1">
      <c r="A214" s="80"/>
      <c r="B214" s="80"/>
    </row>
    <row r="215" ht="15.75" customHeight="1">
      <c r="A215" s="80"/>
      <c r="B215" s="80"/>
    </row>
    <row r="216" ht="15.75" customHeight="1">
      <c r="A216" s="80"/>
      <c r="B216" s="80"/>
    </row>
    <row r="217" ht="15.75" customHeight="1">
      <c r="A217" s="80"/>
      <c r="B217" s="80"/>
    </row>
    <row r="218" ht="15.75" customHeight="1">
      <c r="A218" s="80"/>
      <c r="B218" s="80"/>
    </row>
    <row r="219" ht="15.75" customHeight="1">
      <c r="A219" s="80"/>
      <c r="B219" s="80"/>
    </row>
    <row r="220" ht="15.75" customHeight="1">
      <c r="A220" s="80"/>
      <c r="B220" s="80"/>
    </row>
    <row r="221" ht="15.75" customHeight="1">
      <c r="A221" s="80"/>
      <c r="B221" s="80"/>
    </row>
    <row r="222" ht="15.75" customHeight="1">
      <c r="A222" s="80"/>
      <c r="B222" s="80"/>
    </row>
    <row r="223" ht="15.75" customHeight="1">
      <c r="A223" s="80"/>
      <c r="B223" s="80"/>
    </row>
    <row r="224" ht="15.75" customHeight="1">
      <c r="A224" s="80"/>
      <c r="B224" s="80"/>
    </row>
    <row r="225" ht="15.75" customHeight="1">
      <c r="A225" s="80"/>
      <c r="B225" s="80"/>
    </row>
    <row r="226" ht="15.75" customHeight="1">
      <c r="A226" s="80"/>
      <c r="B226" s="80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B8:B9"/>
    <mergeCell ref="C8:C9"/>
    <mergeCell ref="D8:D9"/>
    <mergeCell ref="E8:E9"/>
    <mergeCell ref="F8:H8"/>
    <mergeCell ref="I8:I9"/>
    <mergeCell ref="B26:C26"/>
    <mergeCell ref="B6:B7"/>
    <mergeCell ref="C6:C7"/>
    <mergeCell ref="D6:D7"/>
    <mergeCell ref="E6:E7"/>
    <mergeCell ref="F6:H6"/>
    <mergeCell ref="I6:I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1.22" defaultRowHeight="15.0"/>
  <cols>
    <col customWidth="1" min="1" max="1" width="4.33"/>
    <col customWidth="1" min="2" max="2" width="28.44"/>
    <col customWidth="1" min="3" max="3" width="30.78"/>
    <col customWidth="1" min="4" max="4" width="27.89"/>
    <col customWidth="1" min="5" max="11" width="16.78"/>
    <col customWidth="1" min="12" max="18" width="11.22"/>
    <col customWidth="1" min="19" max="19" width="4.78"/>
  </cols>
  <sheetData>
    <row r="1">
      <c r="A1" s="81" t="s">
        <v>30</v>
      </c>
      <c r="B1" s="82"/>
      <c r="C1" s="83"/>
      <c r="D1" s="83"/>
      <c r="E1" s="83"/>
      <c r="F1" s="83"/>
      <c r="G1" s="83"/>
      <c r="H1" s="83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>
      <c r="A2" s="84"/>
      <c r="C2" s="85" t="s">
        <v>31</v>
      </c>
      <c r="D2" s="83"/>
      <c r="E2" s="83"/>
      <c r="F2" s="83"/>
      <c r="G2" s="83"/>
      <c r="H2" s="83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>
      <c r="A3" s="84"/>
      <c r="C3" s="85" t="s">
        <v>32</v>
      </c>
      <c r="D3" s="83"/>
      <c r="E3" s="83"/>
      <c r="F3" s="83"/>
      <c r="G3" s="83"/>
      <c r="H3" s="83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ht="31.5" customHeight="1">
      <c r="A4" s="86" t="s">
        <v>33</v>
      </c>
      <c r="B4" s="87"/>
      <c r="C4" s="83"/>
      <c r="D4" s="83"/>
      <c r="E4" s="83"/>
      <c r="F4" s="83"/>
      <c r="G4" s="83"/>
      <c r="H4" s="83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6">
      <c r="A6" s="88"/>
      <c r="B6" s="89" t="s">
        <v>34</v>
      </c>
      <c r="C6" s="90" t="s">
        <v>35</v>
      </c>
      <c r="D6" s="91"/>
      <c r="E6" s="91"/>
      <c r="F6" s="91"/>
      <c r="G6" s="91"/>
      <c r="H6" s="91"/>
      <c r="I6" s="92"/>
      <c r="J6" s="88"/>
      <c r="K6" s="88"/>
      <c r="L6" s="88"/>
      <c r="M6" s="88"/>
      <c r="N6" s="88"/>
      <c r="O6" s="88"/>
      <c r="P6" s="88"/>
      <c r="Q6" s="88"/>
    </row>
    <row r="7">
      <c r="A7" s="93"/>
      <c r="B7" s="94"/>
      <c r="C7" s="95" t="s">
        <v>36</v>
      </c>
      <c r="D7" s="95" t="s">
        <v>37</v>
      </c>
      <c r="E7" s="95" t="s">
        <v>38</v>
      </c>
      <c r="F7" s="95" t="s">
        <v>39</v>
      </c>
      <c r="G7" s="95" t="s">
        <v>40</v>
      </c>
      <c r="H7" s="95" t="s">
        <v>41</v>
      </c>
      <c r="I7" s="95" t="s">
        <v>42</v>
      </c>
      <c r="J7" s="93"/>
      <c r="K7" s="93"/>
      <c r="L7" s="93"/>
      <c r="M7" s="93"/>
      <c r="N7" s="93"/>
      <c r="O7" s="93"/>
      <c r="P7" s="93"/>
      <c r="Q7" s="93"/>
    </row>
    <row r="8">
      <c r="A8" s="88"/>
      <c r="B8" s="96"/>
      <c r="C8" s="97">
        <v>1.0</v>
      </c>
      <c r="D8" s="97">
        <v>2.0</v>
      </c>
      <c r="E8" s="97">
        <v>3.0</v>
      </c>
      <c r="F8" s="97">
        <v>4.0</v>
      </c>
      <c r="G8" s="97">
        <v>5.0</v>
      </c>
      <c r="H8" s="97">
        <v>6.0</v>
      </c>
      <c r="I8" s="97">
        <v>7.0</v>
      </c>
      <c r="J8" s="98"/>
      <c r="K8" s="98"/>
      <c r="L8" s="98"/>
      <c r="M8" s="98"/>
      <c r="N8" s="98"/>
      <c r="O8" s="98"/>
      <c r="P8" s="98"/>
      <c r="Q8" s="88"/>
    </row>
    <row r="9">
      <c r="B9" s="99" t="str">
        <f>'SPM-Uspro'!$C$13</f>
        <v>#REF!</v>
      </c>
      <c r="C9" s="100">
        <f>IFERROR(__xludf.DUMMYFUNCTION("IMPORTRANGE(""https://docs.google.com/spreadsheets/d/1P0UTisakTE5EAx-MYEjY2DmhSnLNqqRm6P3NrlYXL2I/edit#gid=1892753874"",""Rekap KTR!$E$6"")"),6.0)</f>
        <v>6</v>
      </c>
      <c r="D9" s="100">
        <f>IFERROR(__xludf.DUMMYFUNCTION("IMPORTRANGE(""https://docs.google.com/spreadsheets/d/1P0UTisakTE5EAx-MYEjY2DmhSnLNqqRm6P3NrlYXL2I/edit#gid=1892753874"",""Rekap KTR!$E$7"")"),26.0)</f>
        <v>26</v>
      </c>
      <c r="E9" s="100">
        <f>IFERROR(__xludf.DUMMYFUNCTION("IMPORTRANGE(""https://docs.google.com/spreadsheets/d/1P0UTisakTE5EAx-MYEjY2DmhSnLNqqRm6P3NrlYXL2I/edit#gid=1892753874"",""Rekap KTR!$E$8"")"),56.0)</f>
        <v>56</v>
      </c>
      <c r="F9" s="100">
        <f>IFERROR(__xludf.DUMMYFUNCTION("IMPORTRANGE(""https://docs.google.com/spreadsheets/d/1P0UTisakTE5EAx-MYEjY2DmhSnLNqqRm6P3NrlYXL2I/edit#gid=1892753874"",""Rekap KTR!$E$9"")"),8.0)</f>
        <v>8</v>
      </c>
      <c r="G9" s="100">
        <f>IFERROR(__xludf.DUMMYFUNCTION("IMPORTRANGE(""https://docs.google.com/spreadsheets/d/1P0UTisakTE5EAx-MYEjY2DmhSnLNqqRm6P3NrlYXL2I/edit#gid=1892753874"",""Rekap KTR!$E$10"")"),0.0)</f>
        <v>0</v>
      </c>
      <c r="H9" s="100">
        <f>IFERROR(__xludf.DUMMYFUNCTION("IMPORTRANGE(""https://docs.google.com/spreadsheets/d/1P0UTisakTE5EAx-MYEjY2DmhSnLNqqRm6P3NrlYXL2I/edit#gid=1892753874"",""Rekap KTR!$E$11"")"),8.0)</f>
        <v>8</v>
      </c>
      <c r="I9" s="100">
        <f>IFERROR(__xludf.DUMMYFUNCTION("IMPORTRANGE(""https://docs.google.com/spreadsheets/d/1P0UTisakTE5EAx-MYEjY2DmhSnLNqqRm6P3NrlYXL2I/edit#gid=1892753874"",""Rekap KTR!$E$12"")"),0.0)</f>
        <v>0</v>
      </c>
    </row>
    <row r="10">
      <c r="B10" s="99" t="str">
        <f>'SPM-Uspro'!$C$14</f>
        <v>#REF!</v>
      </c>
      <c r="C10" s="100">
        <f>IFERROR(__xludf.DUMMYFUNCTION("IMPORTRANGE(""https://docs.google.com/spreadsheets/d/1jB-UnyPBzGq1HOZkIVtft_Wo28OEKcZNsVgS5r_boTE/edit#gid=1522333227"",""Rekap KTR!$E$6"")"),12.0)</f>
        <v>12</v>
      </c>
      <c r="D10" s="100">
        <f>IFERROR(__xludf.DUMMYFUNCTION("IMPORTRANGE(""https://docs.google.com/spreadsheets/d/1jB-UnyPBzGq1HOZkIVtft_Wo28OEKcZNsVgS5r_boTE/edit#gid=1522333227"",""Rekap KTR!$E$7"")"),53.0)</f>
        <v>53</v>
      </c>
      <c r="E10" s="100">
        <f>IFERROR(__xludf.DUMMYFUNCTION("IMPORTRANGE(""https://docs.google.com/spreadsheets/d/1jB-UnyPBzGq1HOZkIVtft_Wo28OEKcZNsVgS5r_boTE/edit#gid=1522333227"",""Rekap KTR!$E$8"")"),56.0)</f>
        <v>56</v>
      </c>
      <c r="F10" s="100" t="str">
        <f>IFERROR(__xludf.DUMMYFUNCTION("IMPORTRANGE(""https://docs.google.com/spreadsheets/d/1jB-UnyPBzGq1HOZkIVtft_Wo28OEKcZNsVgS5r_boTE/edit#gid=1522333227"",""Rekap KTR!$E$9"")"),"")</f>
        <v/>
      </c>
      <c r="G10" s="100">
        <f>IFERROR(__xludf.DUMMYFUNCTION("IMPORTRANGE(""https://docs.google.com/spreadsheets/d/1jB-UnyPBzGq1HOZkIVtft_Wo28OEKcZNsVgS5r_boTE/edit#gid=1522333227"",""Rekap KTR!$E$10"")"),0.0)</f>
        <v>0</v>
      </c>
      <c r="H10" s="100" t="str">
        <f>IFERROR(__xludf.DUMMYFUNCTION("IMPORTRANGE(""https://docs.google.com/spreadsheets/d/1jB-UnyPBzGq1HOZkIVtft_Wo28OEKcZNsVgS5r_boTE/edit#gid=1522333227"",""Rekap KTR!$E$11"")"),"")</f>
        <v/>
      </c>
      <c r="I10" s="100">
        <f>IFERROR(__xludf.DUMMYFUNCTION("IMPORTRANGE(""https://docs.google.com/spreadsheets/d/1jB-UnyPBzGq1HOZkIVtft_Wo28OEKcZNsVgS5r_boTE/edit#gid=1522333227"",""Rekap KTR!$E$12"")"),0.0)</f>
        <v>0</v>
      </c>
    </row>
    <row r="11">
      <c r="B11" s="99" t="str">
        <f>'SPM-Uspro'!$C$15</f>
        <v>#REF!</v>
      </c>
      <c r="C11" s="100">
        <f>IFERROR(__xludf.DUMMYFUNCTION("IMPORTRANGE(""https://docs.google.com/spreadsheets/d/1gHFrRpJ5fnyxfJI-jxT5z1B1L7rSV8E5sIZEN90Rfhc/edit#gid=1522333227"",""Rekap KTR!$E$6"")"),4.0)</f>
        <v>4</v>
      </c>
      <c r="D11" s="100">
        <f>IFERROR(__xludf.DUMMYFUNCTION("IMPORTRANGE(""https://docs.google.com/spreadsheets/d/1gHFrRpJ5fnyxfJI-jxT5z1B1L7rSV8E5sIZEN90Rfhc/edit#gid=1522333227"",""Rekap KTR!$E$7"")"),29.0)</f>
        <v>29</v>
      </c>
      <c r="E11" s="100">
        <f>IFERROR(__xludf.DUMMYFUNCTION("IMPORTRANGE(""https://docs.google.com/spreadsheets/d/1gHFrRpJ5fnyxfJI-jxT5z1B1L7rSV8E5sIZEN90Rfhc/edit#gid=1522333227"",""Rekap KTR!$E$8"")"),31.0)</f>
        <v>31</v>
      </c>
      <c r="F11" s="100" t="str">
        <f>IFERROR(__xludf.DUMMYFUNCTION("IMPORTRANGE(""https://docs.google.com/spreadsheets/d/1gHFrRpJ5fnyxfJI-jxT5z1B1L7rSV8E5sIZEN90Rfhc/edit#gid=1522333227"",""Rekap KTR!$E$9"")"),"")</f>
        <v/>
      </c>
      <c r="G11" s="100" t="str">
        <f>IFERROR(__xludf.DUMMYFUNCTION("IMPORTRANGE(""https://docs.google.com/spreadsheets/d/1gHFrRpJ5fnyxfJI-jxT5z1B1L7rSV8E5sIZEN90Rfhc/edit#gid=1522333227"",""Rekap KTR!$E$10"")"),"")</f>
        <v/>
      </c>
      <c r="H11" s="100" t="str">
        <f>IFERROR(__xludf.DUMMYFUNCTION("IMPORTRANGE(""https://docs.google.com/spreadsheets/d/1gHFrRpJ5fnyxfJI-jxT5z1B1L7rSV8E5sIZEN90Rfhc/edit#gid=1522333227"",""Rekap KTR!$E$11"")"),"")</f>
        <v/>
      </c>
      <c r="I11" s="100" t="str">
        <f>IFERROR(__xludf.DUMMYFUNCTION("IMPORTRANGE(""https://docs.google.com/spreadsheets/d/1gHFrRpJ5fnyxfJI-jxT5z1B1L7rSV8E5sIZEN90Rfhc/edit#gid=1522333227"",""Rekap KTR!$E$12"")"),"")</f>
        <v/>
      </c>
    </row>
    <row r="12">
      <c r="B12" s="99" t="str">
        <f>'SPM-Uspro'!$C$16</f>
        <v>#REF!</v>
      </c>
      <c r="C12" s="100">
        <f>IFERROR(__xludf.DUMMYFUNCTION("IMPORTRANGE(""https://docs.google.com/spreadsheets/d/1saC2UP2JuYJ7WRPxjh8EMf_BSfGZ18Ous8sVKGLr-Ng/edit#gid=1892753874"",""Rekap KTR!$E$6"")"),8.0)</f>
        <v>8</v>
      </c>
      <c r="D12" s="100">
        <f>IFERROR(__xludf.DUMMYFUNCTION("IMPORTRANGE(""https://docs.google.com/spreadsheets/d/1saC2UP2JuYJ7WRPxjh8EMf_BSfGZ18Ous8sVKGLr-Ng/edit#gid=1892753874"",""Rekap KTR!$E$7"")"),41.0)</f>
        <v>41</v>
      </c>
      <c r="E12" s="100">
        <f>IFERROR(__xludf.DUMMYFUNCTION("IMPORTRANGE(""https://docs.google.com/spreadsheets/d/1saC2UP2JuYJ7WRPxjh8EMf_BSfGZ18Ous8sVKGLr-Ng/edit#gid=1892753874"",""Rekap KTR!$E$8"")"),41.0)</f>
        <v>41</v>
      </c>
      <c r="F12" s="100">
        <f>IFERROR(__xludf.DUMMYFUNCTION("IMPORTRANGE(""https://docs.google.com/spreadsheets/d/1saC2UP2JuYJ7WRPxjh8EMf_BSfGZ18Ous8sVKGLr-Ng/edit#gid=1892753874"",""Rekap KTR!$E$9"")"),14.0)</f>
        <v>14</v>
      </c>
      <c r="G12" s="100">
        <f>IFERROR(__xludf.DUMMYFUNCTION("IMPORTRANGE(""https://docs.google.com/spreadsheets/d/1saC2UP2JuYJ7WRPxjh8EMf_BSfGZ18Ous8sVKGLr-Ng/edit#gid=1892753874"",""Rekap KTR!$E$10"")"),0.0)</f>
        <v>0</v>
      </c>
      <c r="H12" s="100">
        <f>IFERROR(__xludf.DUMMYFUNCTION("IMPORTRANGE(""https://docs.google.com/spreadsheets/d/1saC2UP2JuYJ7WRPxjh8EMf_BSfGZ18Ous8sVKGLr-Ng/edit#gid=1892753874"",""Rekap KTR!$E$11"")"),0.0)</f>
        <v>0</v>
      </c>
      <c r="I12" s="100">
        <f>IFERROR(__xludf.DUMMYFUNCTION("IMPORTRANGE(""https://docs.google.com/spreadsheets/d/1saC2UP2JuYJ7WRPxjh8EMf_BSfGZ18Ous8sVKGLr-Ng/edit#gid=1892753874"",""Rekap KTR!$E$12"")"),0.0)</f>
        <v>0</v>
      </c>
    </row>
    <row r="13">
      <c r="B13" s="99" t="str">
        <f>'SPM-Uspro'!$C$17</f>
        <v>#REF!</v>
      </c>
      <c r="C13" s="100">
        <f>IFERROR(__xludf.DUMMYFUNCTION("IMPORTRANGE(""https://docs.google.com/spreadsheets/d/1ApPPV7RPuDI1EDOKjkoDXkV5Yd_NofeQTYTtAHUYGGw/edit#gid=1522333227"",""Rekap KTR!$E$6"")"),3.0)</f>
        <v>3</v>
      </c>
      <c r="D13" s="100">
        <f>IFERROR(__xludf.DUMMYFUNCTION("IMPORTRANGE(""https://docs.google.com/spreadsheets/d/1ApPPV7RPuDI1EDOKjkoDXkV5Yd_NofeQTYTtAHUYGGw/edit#gid=1522333227"",""Rekap KTR!$E$7"")"),20.0)</f>
        <v>20</v>
      </c>
      <c r="E13" s="100">
        <f>IFERROR(__xludf.DUMMYFUNCTION("IMPORTRANGE(""https://docs.google.com/spreadsheets/d/1ApPPV7RPuDI1EDOKjkoDXkV5Yd_NofeQTYTtAHUYGGw/edit#gid=1522333227"",""Rekap KTR!$E$8"")"),6.0)</f>
        <v>6</v>
      </c>
      <c r="F13" s="100" t="str">
        <f>IFERROR(__xludf.DUMMYFUNCTION("IMPORTRANGE(""https://docs.google.com/spreadsheets/d/1ApPPV7RPuDI1EDOKjkoDXkV5Yd_NofeQTYTtAHUYGGw/edit#gid=1522333227"",""Rekap KTR!$E$9"")"),"")</f>
        <v/>
      </c>
      <c r="G13" s="100" t="str">
        <f>IFERROR(__xludf.DUMMYFUNCTION("IMPORTRANGE(""https://docs.google.com/spreadsheets/d/1ApPPV7RPuDI1EDOKjkoDXkV5Yd_NofeQTYTtAHUYGGw/edit#gid=1522333227"",""Rekap KTR!$E$10"")"),"")</f>
        <v/>
      </c>
      <c r="H13" s="100" t="str">
        <f>IFERROR(__xludf.DUMMYFUNCTION("IMPORTRANGE(""https://docs.google.com/spreadsheets/d/1ApPPV7RPuDI1EDOKjkoDXkV5Yd_NofeQTYTtAHUYGGw/edit#gid=1522333227"",""Rekap KTR!$E$11"")"),"")</f>
        <v/>
      </c>
      <c r="I13" s="100" t="str">
        <f>IFERROR(__xludf.DUMMYFUNCTION("IMPORTRANGE(""https://docs.google.com/spreadsheets/d/1ApPPV7RPuDI1EDOKjkoDXkV5Yd_NofeQTYTtAHUYGGw/edit#gid=1522333227"",""Rekap KTR!$E$12"")"),"")</f>
        <v/>
      </c>
    </row>
    <row r="14">
      <c r="B14" s="99" t="str">
        <f>'SPM-Uspro'!$C$18</f>
        <v>#REF!</v>
      </c>
      <c r="C14" s="100">
        <f>IFERROR(__xludf.DUMMYFUNCTION("IMPORTRANGE(""https://docs.google.com/spreadsheets/d/1iV_nqIfkAdyO_vl_QARxWbfnGcK2KlCCS94aVJ2QbTI/edit#gid=1522333227"",""Rekap KTR!$E$6"")"),6.0)</f>
        <v>6</v>
      </c>
      <c r="D14" s="100">
        <f>IFERROR(__xludf.DUMMYFUNCTION("IMPORTRANGE(""https://docs.google.com/spreadsheets/d/1iV_nqIfkAdyO_vl_QARxWbfnGcK2KlCCS94aVJ2QbTI/edit#gid=1522333227"",""Rekap KTR!$E$7"")"),26.0)</f>
        <v>26</v>
      </c>
      <c r="E14" s="100">
        <f>IFERROR(__xludf.DUMMYFUNCTION("IMPORTRANGE(""https://docs.google.com/spreadsheets/d/1iV_nqIfkAdyO_vl_QARxWbfnGcK2KlCCS94aVJ2QbTI/edit#gid=1522333227"",""Rekap KTR!$E$8"")"),13.0)</f>
        <v>13</v>
      </c>
      <c r="F14" s="100">
        <f>IFERROR(__xludf.DUMMYFUNCTION("IMPORTRANGE(""https://docs.google.com/spreadsheets/d/1iV_nqIfkAdyO_vl_QARxWbfnGcK2KlCCS94aVJ2QbTI/edit#gid=1522333227"",""Rekap KTR!$E$9"")"),0.0)</f>
        <v>0</v>
      </c>
      <c r="G14" s="100">
        <f>IFERROR(__xludf.DUMMYFUNCTION("IMPORTRANGE(""https://docs.google.com/spreadsheets/d/1iV_nqIfkAdyO_vl_QARxWbfnGcK2KlCCS94aVJ2QbTI/edit#gid=1522333227"",""Rekap KTR!$E$10"")"),0.0)</f>
        <v>0</v>
      </c>
      <c r="H14" s="100">
        <f>IFERROR(__xludf.DUMMYFUNCTION("IMPORTRANGE(""https://docs.google.com/spreadsheets/d/1iV_nqIfkAdyO_vl_QARxWbfnGcK2KlCCS94aVJ2QbTI/edit#gid=1522333227"",""Rekap KTR!$E$11"")"),0.0)</f>
        <v>0</v>
      </c>
      <c r="I14" s="100">
        <f>IFERROR(__xludf.DUMMYFUNCTION("IMPORTRANGE(""https://docs.google.com/spreadsheets/d/1iV_nqIfkAdyO_vl_QARxWbfnGcK2KlCCS94aVJ2QbTI/edit#gid=1522333227"",""Rekap KTR!$E$12"")"),0.0)</f>
        <v>0</v>
      </c>
    </row>
    <row r="15">
      <c r="B15" s="99" t="str">
        <f>'SPM-Uspro'!$C$19</f>
        <v>#REF!</v>
      </c>
      <c r="C15" s="100">
        <f>IFERROR(__xludf.DUMMYFUNCTION("IMPORTRANGE(""https://docs.google.com/spreadsheets/d/1zz70Lj6oBg1MOPSG6KJcsMeqBNtXMHYICRkg7kpt_d0/edit#gid=1892753874"",""Rekap KTR!$E$6"")"),9.0)</f>
        <v>9</v>
      </c>
      <c r="D15" s="100">
        <f>IFERROR(__xludf.DUMMYFUNCTION("IMPORTRANGE(""https://docs.google.com/spreadsheets/d/1zz70Lj6oBg1MOPSG6KJcsMeqBNtXMHYICRkg7kpt_d0/edit#gid=1892753874"",""Rekap KTR!$E$7"")"),47.0)</f>
        <v>47</v>
      </c>
      <c r="E15" s="100">
        <f>IFERROR(__xludf.DUMMYFUNCTION("IMPORTRANGE(""https://docs.google.com/spreadsheets/d/1zz70Lj6oBg1MOPSG6KJcsMeqBNtXMHYICRkg7kpt_d0/edit#gid=1892753874"",""Rekap KTR!$E$8"")"),29.0)</f>
        <v>29</v>
      </c>
      <c r="F15" s="100">
        <f>IFERROR(__xludf.DUMMYFUNCTION("IMPORTRANGE(""https://docs.google.com/spreadsheets/d/1zz70Lj6oBg1MOPSG6KJcsMeqBNtXMHYICRkg7kpt_d0/edit#gid=1892753874"",""Rekap KTR!$E$9"")"),3.0)</f>
        <v>3</v>
      </c>
      <c r="G15" s="100">
        <f>IFERROR(__xludf.DUMMYFUNCTION("IMPORTRANGE(""https://docs.google.com/spreadsheets/d/1zz70Lj6oBg1MOPSG6KJcsMeqBNtXMHYICRkg7kpt_d0/edit#gid=1892753874"",""Rekap KTR!$E$10"")"),1.0)</f>
        <v>1</v>
      </c>
      <c r="H15" s="100">
        <f>IFERROR(__xludf.DUMMYFUNCTION("IMPORTRANGE(""https://docs.google.com/spreadsheets/d/1zz70Lj6oBg1MOPSG6KJcsMeqBNtXMHYICRkg7kpt_d0/edit#gid=1892753874"",""Rekap KTR!$E$11"")"),4.0)</f>
        <v>4</v>
      </c>
      <c r="I15" s="100">
        <f>IFERROR(__xludf.DUMMYFUNCTION("IMPORTRANGE(""https://docs.google.com/spreadsheets/d/1zz70Lj6oBg1MOPSG6KJcsMeqBNtXMHYICRkg7kpt_d0/edit#gid=1892753874"",""Rekap KTR!$E$12"")"),4.0)</f>
        <v>4</v>
      </c>
    </row>
    <row r="16">
      <c r="B16" s="99" t="str">
        <f>'SPM-Uspro'!$C$20</f>
        <v>#REF!</v>
      </c>
      <c r="C16" s="100">
        <f>IFERROR(__xludf.DUMMYFUNCTION("IMPORTRANGE(""https://docs.google.com/spreadsheets/d/1773f1iHRnXhbrVjAHR7zUpu3neZdvtp1a2ikB9LJu8U/edit#gid=1522333227"",""Rekap KTR!$E$6"")"),39.0)</f>
        <v>39</v>
      </c>
      <c r="D16" s="100">
        <f>IFERROR(__xludf.DUMMYFUNCTION("IMPORTRANGE(""https://docs.google.com/spreadsheets/d/1773f1iHRnXhbrVjAHR7zUpu3neZdvtp1a2ikB9LJu8U/edit#gid=1522333227"",""Rekap KTR!$E$7"")"),43.0)</f>
        <v>43</v>
      </c>
      <c r="E16" s="100">
        <f>IFERROR(__xludf.DUMMYFUNCTION("IMPORTRANGE(""https://docs.google.com/spreadsheets/d/1773f1iHRnXhbrVjAHR7zUpu3neZdvtp1a2ikB9LJu8U/edit#gid=1522333227"",""Rekap KTR!$E$8"")"),32.0)</f>
        <v>32</v>
      </c>
      <c r="F16" s="100">
        <f>IFERROR(__xludf.DUMMYFUNCTION("IMPORTRANGE(""https://docs.google.com/spreadsheets/d/1773f1iHRnXhbrVjAHR7zUpu3neZdvtp1a2ikB9LJu8U/edit#gid=1522333227"",""Rekap KTR!$E$9"")"),21.0)</f>
        <v>21</v>
      </c>
      <c r="G16" s="100">
        <f>IFERROR(__xludf.DUMMYFUNCTION("IMPORTRANGE(""https://docs.google.com/spreadsheets/d/1773f1iHRnXhbrVjAHR7zUpu3neZdvtp1a2ikB9LJu8U/edit#gid=1522333227"",""Rekap KTR!$E$10"")"),0.0)</f>
        <v>0</v>
      </c>
      <c r="H16" s="100">
        <f>IFERROR(__xludf.DUMMYFUNCTION("IMPORTRANGE(""https://docs.google.com/spreadsheets/d/1773f1iHRnXhbrVjAHR7zUpu3neZdvtp1a2ikB9LJu8U/edit#gid=1522333227"",""Rekap KTR!$E$11"")"),16.0)</f>
        <v>16</v>
      </c>
      <c r="I16" s="100">
        <f>IFERROR(__xludf.DUMMYFUNCTION("IMPORTRANGE(""https://docs.google.com/spreadsheets/d/1773f1iHRnXhbrVjAHR7zUpu3neZdvtp1a2ikB9LJu8U/edit#gid=1522333227"",""Rekap KTR!$E$12"")"),0.0)</f>
        <v>0</v>
      </c>
    </row>
    <row r="17">
      <c r="B17" s="99" t="str">
        <f>'SPM-Uspro'!$C$21</f>
        <v>#REF!</v>
      </c>
      <c r="C17" s="100">
        <f>IFERROR(__xludf.DUMMYFUNCTION("IMPORTRANGE(""https://docs.google.com/spreadsheets/d/10iNzN1LqaStEosZKEbqcoOm3IdodNsG31q_nR0Y6WGo/edit#gid=1522333227"",""Rekap KTR!$E$6"")"),1.0)</f>
        <v>1</v>
      </c>
      <c r="D17" s="100">
        <f>IFERROR(__xludf.DUMMYFUNCTION("IMPORTRANGE(""https://docs.google.com/spreadsheets/d/10iNzN1LqaStEosZKEbqcoOm3IdodNsG31q_nR0Y6WGo/edit#gid=1522333227"",""Rekap KTR!$E$7"")"),24.0)</f>
        <v>24</v>
      </c>
      <c r="E17" s="100">
        <f>IFERROR(__xludf.DUMMYFUNCTION("IMPORTRANGE(""https://docs.google.com/spreadsheets/d/10iNzN1LqaStEosZKEbqcoOm3IdodNsG31q_nR0Y6WGo/edit#gid=1522333227"",""Rekap KTR!$E$8"")"),2.0)</f>
        <v>2</v>
      </c>
      <c r="F17" s="100">
        <f>IFERROR(__xludf.DUMMYFUNCTION("IMPORTRANGE(""https://docs.google.com/spreadsheets/d/10iNzN1LqaStEosZKEbqcoOm3IdodNsG31q_nR0Y6WGo/edit#gid=1522333227"",""Rekap KTR!$E$9"")"),3.0)</f>
        <v>3</v>
      </c>
      <c r="G17" s="100">
        <f>IFERROR(__xludf.DUMMYFUNCTION("IMPORTRANGE(""https://docs.google.com/spreadsheets/d/10iNzN1LqaStEosZKEbqcoOm3IdodNsG31q_nR0Y6WGo/edit#gid=1522333227"",""Rekap KTR!$E$10"")"),0.0)</f>
        <v>0</v>
      </c>
      <c r="H17" s="100">
        <f>IFERROR(__xludf.DUMMYFUNCTION("IMPORTRANGE(""https://docs.google.com/spreadsheets/d/10iNzN1LqaStEosZKEbqcoOm3IdodNsG31q_nR0Y6WGo/edit#gid=1522333227"",""Rekap KTR!$E$11"")"),2.0)</f>
        <v>2</v>
      </c>
      <c r="I17" s="100">
        <f>IFERROR(__xludf.DUMMYFUNCTION("IMPORTRANGE(""https://docs.google.com/spreadsheets/d/10iNzN1LqaStEosZKEbqcoOm3IdodNsG31q_nR0Y6WGo/edit#gid=1522333227"",""Rekap KTR!$E$12"")"),1.0)</f>
        <v>1</v>
      </c>
    </row>
    <row r="18">
      <c r="B18" s="99" t="str">
        <f>'SPM-Uspro'!$C$22</f>
        <v>#REF!</v>
      </c>
      <c r="C18" s="100">
        <f>IFERROR(__xludf.DUMMYFUNCTION("IMPORTRANGE(""https://docs.google.com/spreadsheets/d/17PsIU8VcCQeO2M4DM42K9vv32GkafaaF1LxQevQ8tAQ/edit#gid=1892753874"",""Rekap KTR!$E$6"")"),2.0)</f>
        <v>2</v>
      </c>
      <c r="D18" s="100">
        <f>IFERROR(__xludf.DUMMYFUNCTION("IMPORTRANGE(""https://docs.google.com/spreadsheets/d/17PsIU8VcCQeO2M4DM42K9vv32GkafaaF1LxQevQ8tAQ/edit#gid=1892753874"",""Rekap KTR!$E$7"")"),21.0)</f>
        <v>21</v>
      </c>
      <c r="E18" s="100">
        <f>IFERROR(__xludf.DUMMYFUNCTION("IMPORTRANGE(""https://docs.google.com/spreadsheets/d/17PsIU8VcCQeO2M4DM42K9vv32GkafaaF1LxQevQ8tAQ/edit#gid=1892753874"",""Rekap KTR!$E$8"")"),17.0)</f>
        <v>17</v>
      </c>
      <c r="F18" s="100">
        <f>IFERROR(__xludf.DUMMYFUNCTION("IMPORTRANGE(""https://docs.google.com/spreadsheets/d/17PsIU8VcCQeO2M4DM42K9vv32GkafaaF1LxQevQ8tAQ/edit#gid=1892753874"",""Rekap KTR!$E$9"")"),0.0)</f>
        <v>0</v>
      </c>
      <c r="G18" s="100">
        <f>IFERROR(__xludf.DUMMYFUNCTION("IMPORTRANGE(""https://docs.google.com/spreadsheets/d/17PsIU8VcCQeO2M4DM42K9vv32GkafaaF1LxQevQ8tAQ/edit#gid=1892753874"",""Rekap KTR!$E$10"")"),0.0)</f>
        <v>0</v>
      </c>
      <c r="H18" s="100">
        <f>IFERROR(__xludf.DUMMYFUNCTION("IMPORTRANGE(""https://docs.google.com/spreadsheets/d/17PsIU8VcCQeO2M4DM42K9vv32GkafaaF1LxQevQ8tAQ/edit#gid=1892753874"",""Rekap KTR!$E$11"")"),0.0)</f>
        <v>0</v>
      </c>
      <c r="I18" s="100">
        <f>IFERROR(__xludf.DUMMYFUNCTION("IMPORTRANGE(""https://docs.google.com/spreadsheets/d/17PsIU8VcCQeO2M4DM42K9vv32GkafaaF1LxQevQ8tAQ/edit#gid=1892753874"",""Rekap KTR!$E$12"")"),0.0)</f>
        <v>0</v>
      </c>
    </row>
    <row r="19">
      <c r="B19" s="99" t="str">
        <f>'SPM-Uspro'!$C$23</f>
        <v>#REF!</v>
      </c>
      <c r="C19" s="100">
        <f>IFERROR(__xludf.DUMMYFUNCTION("IMPORTRANGE(""https://docs.google.com/spreadsheets/d/1d0Y9C6M4-a1TT0nIK2Gc4IXnbVyxoBB3v7o1biNGAwY/edit#gid=1892753874"",""Rekap KTR!$E$6"")"),6.0)</f>
        <v>6</v>
      </c>
      <c r="D19" s="100">
        <f>IFERROR(__xludf.DUMMYFUNCTION("IMPORTRANGE(""https://docs.google.com/spreadsheets/d/1d0Y9C6M4-a1TT0nIK2Gc4IXnbVyxoBB3v7o1biNGAwY/edit#gid=1892753874"",""Rekap KTR!$E$7"")"),27.0)</f>
        <v>27</v>
      </c>
      <c r="E19" s="100">
        <f>IFERROR(__xludf.DUMMYFUNCTION("IMPORTRANGE(""https://docs.google.com/spreadsheets/d/1d0Y9C6M4-a1TT0nIK2Gc4IXnbVyxoBB3v7o1biNGAwY/edit#gid=1892753874"",""Rekap KTR!$E$8"")"),7.0)</f>
        <v>7</v>
      </c>
      <c r="F19" s="100">
        <f>IFERROR(__xludf.DUMMYFUNCTION("IMPORTRANGE(""https://docs.google.com/spreadsheets/d/1d0Y9C6M4-a1TT0nIK2Gc4IXnbVyxoBB3v7o1biNGAwY/edit#gid=1892753874"",""Rekap KTR!$E$9"")"),0.0)</f>
        <v>0</v>
      </c>
      <c r="G19" s="100">
        <f>IFERROR(__xludf.DUMMYFUNCTION("IMPORTRANGE(""https://docs.google.com/spreadsheets/d/1d0Y9C6M4-a1TT0nIK2Gc4IXnbVyxoBB3v7o1biNGAwY/edit#gid=1892753874"",""Rekap KTR!$E$10"")"),0.0)</f>
        <v>0</v>
      </c>
      <c r="H19" s="100">
        <f>IFERROR(__xludf.DUMMYFUNCTION("IMPORTRANGE(""https://docs.google.com/spreadsheets/d/1d0Y9C6M4-a1TT0nIK2Gc4IXnbVyxoBB3v7o1biNGAwY/edit#gid=1892753874"",""Rekap KTR!$E$11"")"),0.0)</f>
        <v>0</v>
      </c>
      <c r="I19" s="100">
        <f>IFERROR(__xludf.DUMMYFUNCTION("IMPORTRANGE(""https://docs.google.com/spreadsheets/d/1d0Y9C6M4-a1TT0nIK2Gc4IXnbVyxoBB3v7o1biNGAwY/edit#gid=1892753874"",""Rekap KTR!$E$12"")"),0.0)</f>
        <v>0</v>
      </c>
    </row>
    <row r="20">
      <c r="B20" s="99" t="str">
        <f>'SPM-Uspro'!$C$24</f>
        <v>#REF!</v>
      </c>
      <c r="C20" s="100">
        <f>IFERROR(__xludf.DUMMYFUNCTION("IMPORTRANGE(""https://docs.google.com/spreadsheets/d/1fXA1yQzUNddp7fjR2KF22o4rRJu9lP9Ja9Oi1mRbg_E/edit#gid=1892753874"",""Rekap KTR!$E$6"")"),2.0)</f>
        <v>2</v>
      </c>
      <c r="D20" s="100">
        <f>IFERROR(__xludf.DUMMYFUNCTION("IMPORTRANGE(""https://docs.google.com/spreadsheets/d/1fXA1yQzUNddp7fjR2KF22o4rRJu9lP9Ja9Oi1mRbg_E/edit#gid=1892753874"",""Rekap KTR!$E$7"")"),31.0)</f>
        <v>31</v>
      </c>
      <c r="E20" s="100">
        <f>IFERROR(__xludf.DUMMYFUNCTION("IMPORTRANGE(""https://docs.google.com/spreadsheets/d/1fXA1yQzUNddp7fjR2KF22o4rRJu9lP9Ja9Oi1mRbg_E/edit#gid=1892753874"",""Rekap KTR!$E$8"")"),29.0)</f>
        <v>29</v>
      </c>
      <c r="F20" s="100">
        <f>IFERROR(__xludf.DUMMYFUNCTION("IMPORTRANGE(""https://docs.google.com/spreadsheets/d/1fXA1yQzUNddp7fjR2KF22o4rRJu9lP9Ja9Oi1mRbg_E/edit#gid=1892753874"",""Rekap KTR!$E$9"")"),19.0)</f>
        <v>19</v>
      </c>
      <c r="G20" s="100">
        <f>IFERROR(__xludf.DUMMYFUNCTION("IMPORTRANGE(""https://docs.google.com/spreadsheets/d/1fXA1yQzUNddp7fjR2KF22o4rRJu9lP9Ja9Oi1mRbg_E/edit#gid=1892753874"",""Rekap KTR!$E$10"")"),1.0)</f>
        <v>1</v>
      </c>
      <c r="H20" s="100">
        <f>IFERROR(__xludf.DUMMYFUNCTION("IMPORTRANGE(""https://docs.google.com/spreadsheets/d/1fXA1yQzUNddp7fjR2KF22o4rRJu9lP9Ja9Oi1mRbg_E/edit#gid=1892753874"",""Rekap KTR!$E$11"")"),1.0)</f>
        <v>1</v>
      </c>
      <c r="I20" s="100">
        <f>IFERROR(__xludf.DUMMYFUNCTION("IMPORTRANGE(""https://docs.google.com/spreadsheets/d/1fXA1yQzUNddp7fjR2KF22o4rRJu9lP9Ja9Oi1mRbg_E/edit#gid=1892753874"",""Rekap KTR!$E$12"")"),1.0)</f>
        <v>1</v>
      </c>
    </row>
    <row r="21" ht="15.75" customHeight="1">
      <c r="B21" s="99" t="str">
        <f>'SPM-Uspro'!$C$25</f>
        <v>#REF!</v>
      </c>
      <c r="C21" s="100">
        <f>IFERROR(__xludf.DUMMYFUNCTION("IMPORTRANGE(""https://docs.google.com/spreadsheets/d/155aL1qCqCleHwMP0Y8LT5akEbK27R0RIka-lAkeoeEo/edit#gid=1892753874"",""Rekap KTR!$E$6"")"),10.0)</f>
        <v>10</v>
      </c>
      <c r="D21" s="100">
        <f>IFERROR(__xludf.DUMMYFUNCTION("IMPORTRANGE(""https://docs.google.com/spreadsheets/d/155aL1qCqCleHwMP0Y8LT5akEbK27R0RIka-lAkeoeEo/edit#gid=1892753874"",""Rekap KTR!$E$7"")"),47.0)</f>
        <v>47</v>
      </c>
      <c r="E21" s="100">
        <f>IFERROR(__xludf.DUMMYFUNCTION("IMPORTRANGE(""https://docs.google.com/spreadsheets/d/155aL1qCqCleHwMP0Y8LT5akEbK27R0RIka-lAkeoeEo/edit#gid=1892753874"",""Rekap KTR!$E$8"")"),5.0)</f>
        <v>5</v>
      </c>
      <c r="F21" s="100" t="str">
        <f>IFERROR(__xludf.DUMMYFUNCTION("IMPORTRANGE(""https://docs.google.com/spreadsheets/d/155aL1qCqCleHwMP0Y8LT5akEbK27R0RIka-lAkeoeEo/edit#gid=1892753874"",""Rekap KTR!$E$9"")"),"")</f>
        <v/>
      </c>
      <c r="G21" s="100" t="str">
        <f>IFERROR(__xludf.DUMMYFUNCTION("IMPORTRANGE(""https://docs.google.com/spreadsheets/d/155aL1qCqCleHwMP0Y8LT5akEbK27R0RIka-lAkeoeEo/edit#gid=1892753874"",""Rekap KTR!$E$10"")"),"")</f>
        <v/>
      </c>
      <c r="H21" s="100" t="str">
        <f>IFERROR(__xludf.DUMMYFUNCTION("IMPORTRANGE(""https://docs.google.com/spreadsheets/d/155aL1qCqCleHwMP0Y8LT5akEbK27R0RIka-lAkeoeEo/edit#gid=1892753874"",""Rekap KTR!$E$11"")"),"")</f>
        <v/>
      </c>
      <c r="I21" s="100" t="str">
        <f>IFERROR(__xludf.DUMMYFUNCTION("IMPORTRANGE(""https://docs.google.com/spreadsheets/d/155aL1qCqCleHwMP0Y8LT5akEbK27R0RIka-lAkeoeEo/edit#gid=1892753874"",""Rekap KTR!$E$12"")"),"")</f>
        <v/>
      </c>
    </row>
    <row r="22" ht="15.75" customHeight="1">
      <c r="B22" s="99" t="str">
        <f>'SPM-Uspro'!$C$26</f>
        <v>#REF!</v>
      </c>
      <c r="C22" s="100">
        <f>IFERROR(__xludf.DUMMYFUNCTION("IMPORTRANGE(""https://docs.google.com/spreadsheets/d/13FRR1udp0c0o6Nmp_8YHiON78PXr-L4FqQQ028JcBYY/edit#gid=1522333227"",""Rekap KTR!$E$6"")"),7.0)</f>
        <v>7</v>
      </c>
      <c r="D22" s="100">
        <f>IFERROR(__xludf.DUMMYFUNCTION("IMPORTRANGE(""https://docs.google.com/spreadsheets/d/13FRR1udp0c0o6Nmp_8YHiON78PXr-L4FqQQ028JcBYY/edit#gid=1522333227"",""Rekap KTR!$E$7"")"),31.0)</f>
        <v>31</v>
      </c>
      <c r="E22" s="100">
        <f>IFERROR(__xludf.DUMMYFUNCTION("IMPORTRANGE(""https://docs.google.com/spreadsheets/d/13FRR1udp0c0o6Nmp_8YHiON78PXr-L4FqQQ028JcBYY/edit#gid=1522333227"",""Rekap KTR!$E$8"")"),2.0)</f>
        <v>2</v>
      </c>
      <c r="F22" s="100" t="str">
        <f>IFERROR(__xludf.DUMMYFUNCTION("IMPORTRANGE(""https://docs.google.com/spreadsheets/d/13FRR1udp0c0o6Nmp_8YHiON78PXr-L4FqQQ028JcBYY/edit#gid=1522333227"",""Rekap KTR!$E$9"")"),"")</f>
        <v/>
      </c>
      <c r="G22" s="100" t="str">
        <f>IFERROR(__xludf.DUMMYFUNCTION("IMPORTRANGE(""https://docs.google.com/spreadsheets/d/13FRR1udp0c0o6Nmp_8YHiON78PXr-L4FqQQ028JcBYY/edit#gid=1522333227"",""Rekap KTR!$E$10"")"),"")</f>
        <v/>
      </c>
      <c r="H22" s="100" t="str">
        <f>IFERROR(__xludf.DUMMYFUNCTION("IMPORTRANGE(""https://docs.google.com/spreadsheets/d/13FRR1udp0c0o6Nmp_8YHiON78PXr-L4FqQQ028JcBYY/edit#gid=1522333227"",""Rekap KTR!$E$11"")"),"")</f>
        <v/>
      </c>
      <c r="I22" s="100" t="str">
        <f>IFERROR(__xludf.DUMMYFUNCTION("IMPORTRANGE(""https://docs.google.com/spreadsheets/d/13FRR1udp0c0o6Nmp_8YHiON78PXr-L4FqQQ028JcBYY/edit#gid=1522333227"",""Rekap KTR!$E$12"")"),"")</f>
        <v/>
      </c>
    </row>
    <row r="23" ht="15.75" customHeight="1">
      <c r="B23" s="99" t="str">
        <f>'SPM-Uspro'!$C$27</f>
        <v>#REF!</v>
      </c>
      <c r="C23" s="100">
        <f>IFERROR(__xludf.DUMMYFUNCTION("IMPORTRANGE(""https://docs.google.com/spreadsheets/d/1PVwe4VvYfj1Vj424c9kO9TcQogsBM6TpXMbFve9togc/edit#gid=1522333227"",""Rekap KTR!$E$6"")"),5.0)</f>
        <v>5</v>
      </c>
      <c r="D23" s="100">
        <f>IFERROR(__xludf.DUMMYFUNCTION("IMPORTRANGE(""https://docs.google.com/spreadsheets/d/1PVwe4VvYfj1Vj424c9kO9TcQogsBM6TpXMbFve9togc/edit#gid=1522333227"",""Rekap KTR!$E$7"")"),38.0)</f>
        <v>38</v>
      </c>
      <c r="E23" s="100">
        <f>IFERROR(__xludf.DUMMYFUNCTION("IMPORTRANGE(""https://docs.google.com/spreadsheets/d/1PVwe4VvYfj1Vj424c9kO9TcQogsBM6TpXMbFve9togc/edit#gid=1522333227"",""Rekap KTR!$E$8"")"),17.0)</f>
        <v>17</v>
      </c>
      <c r="F23" s="100">
        <f>IFERROR(__xludf.DUMMYFUNCTION("IMPORTRANGE(""https://docs.google.com/spreadsheets/d/1PVwe4VvYfj1Vj424c9kO9TcQogsBM6TpXMbFve9togc/edit#gid=1522333227"",""Rekap KTR!$E$9"")"),0.0)</f>
        <v>0</v>
      </c>
      <c r="G23" s="100">
        <f>IFERROR(__xludf.DUMMYFUNCTION("IMPORTRANGE(""https://docs.google.com/spreadsheets/d/1PVwe4VvYfj1Vj424c9kO9TcQogsBM6TpXMbFve9togc/edit#gid=1522333227"",""Rekap KTR!$E$10"")"),0.0)</f>
        <v>0</v>
      </c>
      <c r="H23" s="100">
        <f>IFERROR(__xludf.DUMMYFUNCTION("IMPORTRANGE(""https://docs.google.com/spreadsheets/d/1PVwe4VvYfj1Vj424c9kO9TcQogsBM6TpXMbFve9togc/edit#gid=1522333227"",""Rekap KTR!$E$11"")"),0.0)</f>
        <v>0</v>
      </c>
      <c r="I23" s="100">
        <f>IFERROR(__xludf.DUMMYFUNCTION("IMPORTRANGE(""https://docs.google.com/spreadsheets/d/1PVwe4VvYfj1Vj424c9kO9TcQogsBM6TpXMbFve9togc/edit#gid=1522333227"",""Rekap KTR!$E$12"")"),0.0)</f>
        <v>0</v>
      </c>
    </row>
    <row r="24" ht="15.75" customHeight="1">
      <c r="B24" s="99" t="str">
        <f>'SPM-Uspro'!$C$28</f>
        <v>#REF!</v>
      </c>
      <c r="C24" s="100" t="str">
        <f>IFERROR(__xludf.DUMMYFUNCTION("IMPORTRANGE(""https://docs.google.com/spreadsheets/d/15JUTNcWxWGx3Ha8qvwbxgnbDbT4v7N3vZYvqPZ68_Xg/edit#gid=1892753874"",""Rekap KTR!$E$6"")"),"")</f>
        <v/>
      </c>
      <c r="D24" s="100">
        <f>IFERROR(__xludf.DUMMYFUNCTION("IMPORTRANGE(""https://docs.google.com/spreadsheets/d/15JUTNcWxWGx3Ha8qvwbxgnbDbT4v7N3vZYvqPZ68_Xg/edit#gid=1892753874"",""Rekap KTR!$E$7"")"),19.0)</f>
        <v>19</v>
      </c>
      <c r="E24" s="100" t="str">
        <f>IFERROR(__xludf.DUMMYFUNCTION("IMPORTRANGE(""https://docs.google.com/spreadsheets/d/15JUTNcWxWGx3Ha8qvwbxgnbDbT4v7N3vZYvqPZ68_Xg/edit#gid=1892753874"",""Rekap KTR!$E$8"")"),"")</f>
        <v/>
      </c>
      <c r="F24" s="100" t="str">
        <f>IFERROR(__xludf.DUMMYFUNCTION("IMPORTRANGE(""https://docs.google.com/spreadsheets/d/15JUTNcWxWGx3Ha8qvwbxgnbDbT4v7N3vZYvqPZ68_Xg/edit#gid=1892753874"",""Rekap KTR!$E$9"")"),"")</f>
        <v/>
      </c>
      <c r="G24" s="100" t="str">
        <f>IFERROR(__xludf.DUMMYFUNCTION("IMPORTRANGE(""https://docs.google.com/spreadsheets/d/15JUTNcWxWGx3Ha8qvwbxgnbDbT4v7N3vZYvqPZ68_Xg/edit#gid=1892753874"",""Rekap KTR!$E$10"")"),"")</f>
        <v/>
      </c>
      <c r="H24" s="100" t="str">
        <f>IFERROR(__xludf.DUMMYFUNCTION("IMPORTRANGE(""https://docs.google.com/spreadsheets/d/15JUTNcWxWGx3Ha8qvwbxgnbDbT4v7N3vZYvqPZ68_Xg/edit#gid=1892753874"",""Rekap KTR!$E$11"")"),"")</f>
        <v/>
      </c>
      <c r="I24" s="100" t="str">
        <f>IFERROR(__xludf.DUMMYFUNCTION("IMPORTRANGE(""https://docs.google.com/spreadsheets/d/15JUTNcWxWGx3Ha8qvwbxgnbDbT4v7N3vZYvqPZ68_Xg/edit#gid=1892753874"",""Rekap KTR!$E$12"")"),"")</f>
        <v/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B3"/>
    <mergeCell ref="A4:B4"/>
    <mergeCell ref="B6:B8"/>
    <mergeCell ref="C6:I6"/>
  </mergeCells>
  <hyperlinks>
    <hyperlink display="              Kembali ke _x000a_              Pilihan Program" location="null!A1" ref="A1"/>
    <hyperlink r:id="rId1" ref="A4"/>
  </hyperlinks>
  <printOptions/>
  <pageMargins bottom="0.75" footer="0.0" header="0.0" left="0.7" right="0.7" top="0.75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1.22" defaultRowHeight="15.0"/>
  <cols>
    <col customWidth="1" min="1" max="1" width="16.67"/>
    <col customWidth="1" min="2" max="2" width="11.22"/>
    <col customWidth="1" min="3" max="3" width="11.78"/>
    <col customWidth="1" min="4" max="5" width="11.22"/>
    <col customWidth="1" min="6" max="6" width="12.33"/>
    <col customWidth="1" min="8" max="8" width="13.89"/>
    <col customWidth="1" min="9" max="9" width="13.56"/>
  </cols>
  <sheetData>
    <row r="1">
      <c r="A1" s="81" t="s">
        <v>30</v>
      </c>
      <c r="B1" s="82"/>
      <c r="C1" s="82"/>
      <c r="D1" s="101" t="s">
        <v>43</v>
      </c>
      <c r="E1" s="82"/>
      <c r="F1" s="82"/>
      <c r="G1" s="82"/>
      <c r="H1" s="82"/>
      <c r="I1" s="82"/>
      <c r="J1" s="82"/>
      <c r="K1" s="83"/>
      <c r="L1" s="1"/>
      <c r="M1" s="1"/>
      <c r="N1" s="1"/>
      <c r="O1" s="1"/>
      <c r="P1" s="1"/>
    </row>
    <row r="2">
      <c r="A2" s="84"/>
      <c r="D2" s="84"/>
      <c r="K2" s="83"/>
      <c r="L2" s="1"/>
      <c r="M2" s="1"/>
      <c r="N2" s="1"/>
      <c r="O2" s="1"/>
      <c r="P2" s="1"/>
    </row>
    <row r="3">
      <c r="A3" s="84"/>
      <c r="D3" s="84"/>
      <c r="K3" s="83"/>
      <c r="L3" s="1"/>
      <c r="M3" s="1"/>
      <c r="N3" s="1"/>
      <c r="O3" s="1"/>
      <c r="P3" s="1"/>
    </row>
    <row r="4" ht="24.75" customHeight="1">
      <c r="A4" s="86" t="s">
        <v>33</v>
      </c>
      <c r="B4" s="87"/>
      <c r="C4" s="87"/>
      <c r="D4" s="84"/>
      <c r="K4" s="83"/>
      <c r="L4" s="1"/>
      <c r="M4" s="1"/>
      <c r="N4" s="1"/>
      <c r="O4" s="1"/>
      <c r="P4" s="1"/>
    </row>
    <row r="6" ht="22.5" customHeight="1">
      <c r="A6" s="102" t="s">
        <v>44</v>
      </c>
      <c r="B6" s="91"/>
      <c r="C6" s="91"/>
      <c r="D6" s="91"/>
      <c r="E6" s="91"/>
      <c r="F6" s="91"/>
      <c r="G6" s="91"/>
      <c r="H6" s="91"/>
      <c r="I6" s="91"/>
      <c r="J6" s="92"/>
      <c r="K6" s="103"/>
      <c r="L6" s="103"/>
      <c r="M6" s="103"/>
      <c r="N6" s="103"/>
      <c r="O6" s="103"/>
      <c r="P6" s="103"/>
    </row>
    <row r="7">
      <c r="A7" s="104" t="s">
        <v>34</v>
      </c>
      <c r="B7" s="104" t="s">
        <v>45</v>
      </c>
      <c r="C7" s="104" t="s">
        <v>46</v>
      </c>
      <c r="D7" s="104" t="s">
        <v>47</v>
      </c>
      <c r="E7" s="105" t="s">
        <v>48</v>
      </c>
      <c r="F7" s="105" t="s">
        <v>49</v>
      </c>
      <c r="G7" s="105" t="s">
        <v>50</v>
      </c>
      <c r="H7" s="106" t="s">
        <v>51</v>
      </c>
      <c r="I7" s="106" t="s">
        <v>52</v>
      </c>
      <c r="J7" s="106" t="s">
        <v>53</v>
      </c>
    </row>
    <row r="8" ht="15.0" customHeight="1">
      <c r="A8" s="94"/>
      <c r="B8" s="94"/>
      <c r="C8" s="94"/>
      <c r="D8" s="94"/>
      <c r="E8" s="94"/>
      <c r="F8" s="94"/>
      <c r="G8" s="94"/>
      <c r="H8" s="94"/>
      <c r="I8" s="94"/>
      <c r="J8" s="94"/>
    </row>
    <row r="9">
      <c r="A9" s="96"/>
      <c r="B9" s="96"/>
      <c r="C9" s="96"/>
      <c r="D9" s="96"/>
      <c r="E9" s="96"/>
      <c r="F9" s="96"/>
      <c r="G9" s="96"/>
      <c r="H9" s="96"/>
      <c r="I9" s="96"/>
      <c r="J9" s="96"/>
    </row>
    <row r="10">
      <c r="A10" s="99" t="str">
        <f>'SPM-Uspro'!$C$13</f>
        <v>#REF!</v>
      </c>
      <c r="B10" s="100">
        <f>IFERROR(__xludf.DUMMYFUNCTION("IMPORTRANGE(""https://docs.google.com/spreadsheets/d/1P0UTisakTE5EAx-MYEjY2DmhSnLNqqRm6P3NrlYXL2I/edit#gid=1892753874"",""Rekap UBM!$B$9"")"),1.0)</f>
        <v>1</v>
      </c>
      <c r="C10" s="100">
        <f>IFERROR(__xludf.DUMMYFUNCTION("IMPORTRANGE(""https://docs.google.com/spreadsheets/d/1P0UTisakTE5EAx-MYEjY2DmhSnLNqqRm6P3NrlYXL2I/edit#gid=1892753874"",""Rekap UBM!$C$9"")"),1.0)</f>
        <v>1</v>
      </c>
      <c r="D10" s="107">
        <f t="shared" ref="D10:D25" si="1">C10/B10*100</f>
        <v>100</v>
      </c>
      <c r="E10" s="100" t="str">
        <f>IFERROR(__xludf.DUMMYFUNCTION("IMPORTRANGE(""https://docs.google.com/spreadsheets/d/1P0UTisakTE5EAx-MYEjY2DmhSnLNqqRm6P3NrlYXL2I/edit#gid=1892753874"",""Rekap UBM!$E$9"")"),"")</f>
        <v/>
      </c>
      <c r="F10" s="100" t="str">
        <f>IFERROR(__xludf.DUMMYFUNCTION("IMPORTRANGE(""https://docs.google.com/spreadsheets/d/1P0UTisakTE5EAx-MYEjY2DmhSnLNqqRm6P3NrlYXL2I/edit#gid=1892753874"",""Rekap UBM!$F$9"")"),"")</f>
        <v/>
      </c>
      <c r="G10" s="107" t="str">
        <f t="shared" ref="G10:G25" si="2">F10/E10*100</f>
        <v>#DIV/0!</v>
      </c>
      <c r="H10" s="100" t="str">
        <f>IFERROR(__xludf.DUMMYFUNCTION("IMPORTRANGE(""https://docs.google.com/spreadsheets/d/1P0UTisakTE5EAx-MYEjY2DmhSnLNqqRm6P3NrlYXL2I/edit#gid=1892753874"",""Rekap UBM!$H$9"")"),"")</f>
        <v/>
      </c>
      <c r="I10" s="100" t="str">
        <f>IFERROR(__xludf.DUMMYFUNCTION("IMPORTRANGE(""https://docs.google.com/spreadsheets/d/1P0UTisakTE5EAx-MYEjY2DmhSnLNqqRm6P3NrlYXL2I/edit#gid=1892753874"",""Rekap UBM!$I$9"")"),"")</f>
        <v/>
      </c>
      <c r="J10" s="107" t="str">
        <f t="shared" ref="J10:J25" si="3">I10/H10*100</f>
        <v>#DIV/0!</v>
      </c>
    </row>
    <row r="11">
      <c r="A11" s="99" t="str">
        <f>'SPM-Uspro'!$C$14</f>
        <v>#REF!</v>
      </c>
      <c r="B11" s="100">
        <f>IFERROR(__xludf.DUMMYFUNCTION("IMPORTRANGE(""https://docs.google.com/spreadsheets/d/1jB-UnyPBzGq1HOZkIVtft_Wo28OEKcZNsVgS5r_boTE/edit#gid=1522333227"",""Rekap UBM!$B$9"")"),1.0)</f>
        <v>1</v>
      </c>
      <c r="C11" s="100">
        <f>IFERROR(__xludf.DUMMYFUNCTION("IMPORTRANGE(""https://docs.google.com/spreadsheets/d/1jB-UnyPBzGq1HOZkIVtft_Wo28OEKcZNsVgS5r_boTE/edit#gid=1522333227"",""Rekap UBM!$C$9"")"),1.0)</f>
        <v>1</v>
      </c>
      <c r="D11" s="107">
        <f t="shared" si="1"/>
        <v>100</v>
      </c>
      <c r="E11" s="100">
        <f>IFERROR(__xludf.DUMMYFUNCTION("IMPORTRANGE(""https://docs.google.com/spreadsheets/d/1jB-UnyPBzGq1HOZkIVtft_Wo28OEKcZNsVgS5r_boTE/edit#gid=1522333227"",""Rekap UBM!$E$9"")"),12.0)</f>
        <v>12</v>
      </c>
      <c r="F11" s="108">
        <f>IFERROR(__xludf.DUMMYFUNCTION("IMPORTRANGE(""https://docs.google.com/spreadsheets/d/1jB-UnyPBzGq1HOZkIVtft_Wo28OEKcZNsVgS5r_boTE/edit#gid=1522333227"",""Rekap UBM!$F$9"")"),12.0)</f>
        <v>12</v>
      </c>
      <c r="G11" s="107">
        <f t="shared" si="2"/>
        <v>100</v>
      </c>
      <c r="H11" s="108" t="str">
        <f>IFERROR(__xludf.DUMMYFUNCTION("IMPORTRANGE(""https://docs.google.com/spreadsheets/d/1jB-UnyPBzGq1HOZkIVtft_Wo28OEKcZNsVgS5r_boTE/edit#gid=1522333227"",""Rekap UBM!$H$9"")"),"")</f>
        <v/>
      </c>
      <c r="I11" s="108" t="str">
        <f>IFERROR(__xludf.DUMMYFUNCTION("IMPORTRANGE(""https://docs.google.com/spreadsheets/d/1jB-UnyPBzGq1HOZkIVtft_Wo28OEKcZNsVgS5r_boTE/edit#gid=1522333227"",""Rekap UBM!$I$9"")"),"")</f>
        <v/>
      </c>
      <c r="J11" s="107" t="str">
        <f t="shared" si="3"/>
        <v>#DIV/0!</v>
      </c>
    </row>
    <row r="12">
      <c r="A12" s="99" t="str">
        <f>'SPM-Uspro'!$C$15</f>
        <v>#REF!</v>
      </c>
      <c r="B12" s="100">
        <f>IFERROR(__xludf.DUMMYFUNCTION("IMPORTRANGE(""https://docs.google.com/spreadsheets/d/1gHFrRpJ5fnyxfJI-jxT5z1B1L7rSV8E5sIZEN90Rfhc/edit#gid=1522333227"",""Rekap UBM!$B$9"")"),1.0)</f>
        <v>1</v>
      </c>
      <c r="C12" s="100">
        <f>IFERROR(__xludf.DUMMYFUNCTION("IMPORTRANGE(""https://docs.google.com/spreadsheets/d/1gHFrRpJ5fnyxfJI-jxT5z1B1L7rSV8E5sIZEN90Rfhc/edit#gid=1522333227"",""Rekap UBM!$C$9"")"),1.0)</f>
        <v>1</v>
      </c>
      <c r="D12" s="107">
        <f t="shared" si="1"/>
        <v>100</v>
      </c>
      <c r="E12" s="100">
        <f>IFERROR(__xludf.DUMMYFUNCTION("IMPORTRANGE(""https://docs.google.com/spreadsheets/d/1gHFrRpJ5fnyxfJI-jxT5z1B1L7rSV8E5sIZEN90Rfhc/edit#gid=1522333227"",""Rekap UBM!$E$9"")"),3.0)</f>
        <v>3</v>
      </c>
      <c r="F12" s="108">
        <f>IFERROR(__xludf.DUMMYFUNCTION("IMPORTRANGE(""https://docs.google.com/spreadsheets/d/1gHFrRpJ5fnyxfJI-jxT5z1B1L7rSV8E5sIZEN90Rfhc/edit#gid=1522333227"",""Rekap UBM!$F$9"")"),3.0)</f>
        <v>3</v>
      </c>
      <c r="G12" s="107">
        <f t="shared" si="2"/>
        <v>100</v>
      </c>
      <c r="H12" s="108">
        <f>IFERROR(__xludf.DUMMYFUNCTION("IMPORTRANGE(""https://docs.google.com/spreadsheets/d/1gHFrRpJ5fnyxfJI-jxT5z1B1L7rSV8E5sIZEN90Rfhc/edit#gid=1522333227"",""Rekap UBM!$H$9"")"),6.0)</f>
        <v>6</v>
      </c>
      <c r="I12" s="108">
        <f>IFERROR(__xludf.DUMMYFUNCTION("IMPORTRANGE(""https://docs.google.com/spreadsheets/d/1gHFrRpJ5fnyxfJI-jxT5z1B1L7rSV8E5sIZEN90Rfhc/edit#gid=1522333227"",""Rekap UBM!$I$9"")"),6.0)</f>
        <v>6</v>
      </c>
      <c r="J12" s="107">
        <f t="shared" si="3"/>
        <v>100</v>
      </c>
    </row>
    <row r="13">
      <c r="A13" s="99" t="str">
        <f>'SPM-Uspro'!$C$16</f>
        <v>#REF!</v>
      </c>
      <c r="B13" s="100">
        <f>IFERROR(__xludf.DUMMYFUNCTION("IMPORTRANGE(""https://docs.google.com/spreadsheets/d/1saC2UP2JuYJ7WRPxjh8EMf_BSfGZ18Ous8sVKGLr-Ng/edit#gid=1892753874"",""Rekap UBM!$B$9"")"),1.0)</f>
        <v>1</v>
      </c>
      <c r="C13" s="100">
        <f>IFERROR(__xludf.DUMMYFUNCTION("IMPORTRANGE(""https://docs.google.com/spreadsheets/d/1saC2UP2JuYJ7WRPxjh8EMf_BSfGZ18Ous8sVKGLr-Ng/edit#gid=1892753874"",""Rekap UBM!$C$9"")"),1.0)</f>
        <v>1</v>
      </c>
      <c r="D13" s="107">
        <f t="shared" si="1"/>
        <v>100</v>
      </c>
      <c r="E13" s="100">
        <f>IFERROR(__xludf.DUMMYFUNCTION("IMPORTRANGE(""https://docs.google.com/spreadsheets/d/1saC2UP2JuYJ7WRPxjh8EMf_BSfGZ18Ous8sVKGLr-Ng/edit#gid=1892753874"",""Rekap UBM!$E$9"")"),3.0)</f>
        <v>3</v>
      </c>
      <c r="F13" s="108">
        <f>IFERROR(__xludf.DUMMYFUNCTION("IMPORTRANGE(""https://docs.google.com/spreadsheets/d/1saC2UP2JuYJ7WRPxjh8EMf_BSfGZ18Ous8sVKGLr-Ng/edit#gid=1892753874"",""Rekap UBM!$F$9"")"),0.0)</f>
        <v>0</v>
      </c>
      <c r="G13" s="107">
        <f t="shared" si="2"/>
        <v>0</v>
      </c>
      <c r="H13" s="108">
        <f>IFERROR(__xludf.DUMMYFUNCTION("IMPORTRANGE(""https://docs.google.com/spreadsheets/d/1saC2UP2JuYJ7WRPxjh8EMf_BSfGZ18Ous8sVKGLr-Ng/edit#gid=1892753874"",""Rekap UBM!$H$9"")"),5.0)</f>
        <v>5</v>
      </c>
      <c r="I13" s="108">
        <f>IFERROR(__xludf.DUMMYFUNCTION("IMPORTRANGE(""https://docs.google.com/spreadsheets/d/1saC2UP2JuYJ7WRPxjh8EMf_BSfGZ18Ous8sVKGLr-Ng/edit#gid=1892753874"",""Rekap UBM!$I$9"")"),0.0)</f>
        <v>0</v>
      </c>
      <c r="J13" s="107">
        <f t="shared" si="3"/>
        <v>0</v>
      </c>
    </row>
    <row r="14">
      <c r="A14" s="99" t="str">
        <f>'SPM-Uspro'!$C$17</f>
        <v>#REF!</v>
      </c>
      <c r="B14" s="100">
        <f>IFERROR(__xludf.DUMMYFUNCTION("IMPORTRANGE(""https://docs.google.com/spreadsheets/d/1ApPPV7RPuDI1EDOKjkoDXkV5Yd_NofeQTYTtAHUYGGw/edit#gid=1522333227"",""Rekap UBM!$B$9"")"),1.0)</f>
        <v>1</v>
      </c>
      <c r="C14" s="100">
        <f>IFERROR(__xludf.DUMMYFUNCTION("IMPORTRANGE(""https://docs.google.com/spreadsheets/d/1ApPPV7RPuDI1EDOKjkoDXkV5Yd_NofeQTYTtAHUYGGw/edit#gid=1522333227"",""Rekap UBM!$C$9"")"),1.0)</f>
        <v>1</v>
      </c>
      <c r="D14" s="107">
        <f t="shared" si="1"/>
        <v>100</v>
      </c>
      <c r="E14" s="100" t="str">
        <f>IFERROR(__xludf.DUMMYFUNCTION("IMPORTRANGE(""https://docs.google.com/spreadsheets/d/1ApPPV7RPuDI1EDOKjkoDXkV5Yd_NofeQTYTtAHUYGGw/edit#gid=1522333227"",""Rekap UBM!$E$9"")"),"")</f>
        <v/>
      </c>
      <c r="F14" s="108" t="str">
        <f>IFERROR(__xludf.DUMMYFUNCTION("IMPORTRANGE(""https://docs.google.com/spreadsheets/d/1ApPPV7RPuDI1EDOKjkoDXkV5Yd_NofeQTYTtAHUYGGw/edit#gid=1522333227"",""Rekap UBM!$F$9"")"),"")</f>
        <v/>
      </c>
      <c r="G14" s="107" t="str">
        <f t="shared" si="2"/>
        <v>#DIV/0!</v>
      </c>
      <c r="H14" s="108" t="str">
        <f>IFERROR(__xludf.DUMMYFUNCTION("IMPORTRANGE(""https://docs.google.com/spreadsheets/d/1ApPPV7RPuDI1EDOKjkoDXkV5Yd_NofeQTYTtAHUYGGw/edit#gid=1522333227"",""Rekap UBM!$H$9"")"),"")</f>
        <v/>
      </c>
      <c r="I14" s="108" t="str">
        <f>IFERROR(__xludf.DUMMYFUNCTION("IMPORTRANGE(""https://docs.google.com/spreadsheets/d/1ApPPV7RPuDI1EDOKjkoDXkV5Yd_NofeQTYTtAHUYGGw/edit#gid=1522333227"",""Rekap UBM!$I$9"")"),"")</f>
        <v/>
      </c>
      <c r="J14" s="107" t="str">
        <f t="shared" si="3"/>
        <v>#DIV/0!</v>
      </c>
    </row>
    <row r="15">
      <c r="A15" s="99" t="str">
        <f>'SPM-Uspro'!$C$18</f>
        <v>#REF!</v>
      </c>
      <c r="B15" s="100">
        <f>IFERROR(__xludf.DUMMYFUNCTION("IMPORTRANGE(""https://docs.google.com/spreadsheets/d/1iV_nqIfkAdyO_vl_QARxWbfnGcK2KlCCS94aVJ2QbTI/edit#gid=1522333227"",""Rekap UBM!$B$9"")"),1.0)</f>
        <v>1</v>
      </c>
      <c r="C15" s="100">
        <f>IFERROR(__xludf.DUMMYFUNCTION("IMPORTRANGE(""https://docs.google.com/spreadsheets/d/1iV_nqIfkAdyO_vl_QARxWbfnGcK2KlCCS94aVJ2QbTI/edit#gid=1522333227"",""Rekap UBM!$C$9"")"),1.0)</f>
        <v>1</v>
      </c>
      <c r="D15" s="107">
        <f t="shared" si="1"/>
        <v>100</v>
      </c>
      <c r="E15" s="100" t="str">
        <f>IFERROR(__xludf.DUMMYFUNCTION("IMPORTRANGE(""https://docs.google.com/spreadsheets/d/1iV_nqIfkAdyO_vl_QARxWbfnGcK2KlCCS94aVJ2QbTI/edit#gid=1522333227"",""Rekap UBM!$E$9"")"),"")</f>
        <v/>
      </c>
      <c r="F15" s="108" t="str">
        <f>IFERROR(__xludf.DUMMYFUNCTION("IMPORTRANGE(""https://docs.google.com/spreadsheets/d/1iV_nqIfkAdyO_vl_QARxWbfnGcK2KlCCS94aVJ2QbTI/edit#gid=1522333227"",""Rekap UBM!$F$9"")"),"")</f>
        <v/>
      </c>
      <c r="G15" s="107" t="str">
        <f t="shared" si="2"/>
        <v>#DIV/0!</v>
      </c>
      <c r="H15" s="108" t="str">
        <f>IFERROR(__xludf.DUMMYFUNCTION("IMPORTRANGE(""https://docs.google.com/spreadsheets/d/1iV_nqIfkAdyO_vl_QARxWbfnGcK2KlCCS94aVJ2QbTI/edit#gid=1522333227"",""Rekap UBM!$H$9"")"),"")</f>
        <v/>
      </c>
      <c r="I15" s="108" t="str">
        <f>IFERROR(__xludf.DUMMYFUNCTION("IMPORTRANGE(""https://docs.google.com/spreadsheets/d/1iV_nqIfkAdyO_vl_QARxWbfnGcK2KlCCS94aVJ2QbTI/edit#gid=1522333227"",""Rekap UBM!$I$9"")"),"")</f>
        <v/>
      </c>
      <c r="J15" s="107" t="str">
        <f t="shared" si="3"/>
        <v>#DIV/0!</v>
      </c>
    </row>
    <row r="16">
      <c r="A16" s="99" t="str">
        <f>'SPM-Uspro'!$C$19</f>
        <v>#REF!</v>
      </c>
      <c r="B16" s="100">
        <f>IFERROR(__xludf.DUMMYFUNCTION("IMPORTRANGE(""https://docs.google.com/spreadsheets/d/1zz70Lj6oBg1MOPSG6KJcsMeqBNtXMHYICRkg7kpt_d0/edit#gid=1892753874"",""Rekap UBM!$B$9"")"),1.0)</f>
        <v>1</v>
      </c>
      <c r="C16" s="100">
        <f>IFERROR(__xludf.DUMMYFUNCTION("IMPORTRANGE(""https://docs.google.com/spreadsheets/d/1zz70Lj6oBg1MOPSG6KJcsMeqBNtXMHYICRkg7kpt_d0/edit#gid=1892753874"",""Rekap UBM!$C$9"")"),1.0)</f>
        <v>1</v>
      </c>
      <c r="D16" s="107">
        <f t="shared" si="1"/>
        <v>100</v>
      </c>
      <c r="E16" s="100">
        <f>IFERROR(__xludf.DUMMYFUNCTION("IMPORTRANGE(""https://docs.google.com/spreadsheets/d/1zz70Lj6oBg1MOPSG6KJcsMeqBNtXMHYICRkg7kpt_d0/edit#gid=1892753874"",""Rekap UBM!$E$9"")"),3.0)</f>
        <v>3</v>
      </c>
      <c r="F16" s="108">
        <f>IFERROR(__xludf.DUMMYFUNCTION("IMPORTRANGE(""https://docs.google.com/spreadsheets/d/1zz70Lj6oBg1MOPSG6KJcsMeqBNtXMHYICRkg7kpt_d0/edit#gid=1892753874"",""Rekap UBM!$F$9"")"),3.0)</f>
        <v>3</v>
      </c>
      <c r="G16" s="107">
        <f t="shared" si="2"/>
        <v>100</v>
      </c>
      <c r="H16" s="108">
        <f>IFERROR(__xludf.DUMMYFUNCTION("IMPORTRANGE(""https://docs.google.com/spreadsheets/d/1zz70Lj6oBg1MOPSG6KJcsMeqBNtXMHYICRkg7kpt_d0/edit#gid=1892753874"",""Rekap UBM!$H$9"")"),3.0)</f>
        <v>3</v>
      </c>
      <c r="I16" s="108">
        <f>IFERROR(__xludf.DUMMYFUNCTION("IMPORTRANGE(""https://docs.google.com/spreadsheets/d/1zz70Lj6oBg1MOPSG6KJcsMeqBNtXMHYICRkg7kpt_d0/edit#gid=1892753874"",""Rekap UBM!$I$9"")"),3.0)</f>
        <v>3</v>
      </c>
      <c r="J16" s="107">
        <f t="shared" si="3"/>
        <v>100</v>
      </c>
    </row>
    <row r="17">
      <c r="A17" s="99" t="str">
        <f>'SPM-Uspro'!$C$20</f>
        <v>#REF!</v>
      </c>
      <c r="B17" s="100">
        <f>IFERROR(__xludf.DUMMYFUNCTION("IMPORTRANGE(""https://docs.google.com/spreadsheets/d/1773f1iHRnXhbrVjAHR7zUpu3neZdvtp1a2ikB9LJu8U/edit#gid=1522333227"",""Rekap UBM!$B$9"")"),1.0)</f>
        <v>1</v>
      </c>
      <c r="C17" s="100">
        <f>IFERROR(__xludf.DUMMYFUNCTION("IMPORTRANGE(""https://docs.google.com/spreadsheets/d/1773f1iHRnXhbrVjAHR7zUpu3neZdvtp1a2ikB9LJu8U/edit#gid=1522333227"",""Rekap UBM!$C$9"")"),1.0)</f>
        <v>1</v>
      </c>
      <c r="D17" s="107">
        <f t="shared" si="1"/>
        <v>100</v>
      </c>
      <c r="E17" s="100">
        <f>IFERROR(__xludf.DUMMYFUNCTION("IMPORTRANGE(""https://docs.google.com/spreadsheets/d/1773f1iHRnXhbrVjAHR7zUpu3neZdvtp1a2ikB9LJu8U/edit#gid=1522333227"",""Rekap UBM!$E$9"")"),13.0)</f>
        <v>13</v>
      </c>
      <c r="F17" s="108">
        <f>IFERROR(__xludf.DUMMYFUNCTION("IMPORTRANGE(""https://docs.google.com/spreadsheets/d/1773f1iHRnXhbrVjAHR7zUpu3neZdvtp1a2ikB9LJu8U/edit#gid=1522333227"",""Rekap UBM!$F$9"")"),13.0)</f>
        <v>13</v>
      </c>
      <c r="G17" s="107">
        <f t="shared" si="2"/>
        <v>100</v>
      </c>
      <c r="H17" s="108">
        <f>IFERROR(__xludf.DUMMYFUNCTION("IMPORTRANGE(""https://docs.google.com/spreadsheets/d/1773f1iHRnXhbrVjAHR7zUpu3neZdvtp1a2ikB9LJu8U/edit#gid=1522333227"",""Rekap UBM!$H$9"")"),1.0)</f>
        <v>1</v>
      </c>
      <c r="I17" s="108">
        <f>IFERROR(__xludf.DUMMYFUNCTION("IMPORTRANGE(""https://docs.google.com/spreadsheets/d/1773f1iHRnXhbrVjAHR7zUpu3neZdvtp1a2ikB9LJu8U/edit#gid=1522333227"",""Rekap UBM!$I$9"")"),1.0)</f>
        <v>1</v>
      </c>
      <c r="J17" s="107">
        <f t="shared" si="3"/>
        <v>100</v>
      </c>
    </row>
    <row r="18">
      <c r="A18" s="99" t="str">
        <f>'SPM-Uspro'!$C$21</f>
        <v>#REF!</v>
      </c>
      <c r="B18" s="100">
        <f>IFERROR(__xludf.DUMMYFUNCTION("IMPORTRANGE(""https://docs.google.com/spreadsheets/d/10iNzN1LqaStEosZKEbqcoOm3IdodNsG31q_nR0Y6WGo/edit#gid=1522333227"",""Rekap UBM!$B$9"")"),1.0)</f>
        <v>1</v>
      </c>
      <c r="C18" s="100">
        <f>IFERROR(__xludf.DUMMYFUNCTION("IMPORTRANGE(""https://docs.google.com/spreadsheets/d/10iNzN1LqaStEosZKEbqcoOm3IdodNsG31q_nR0Y6WGo/edit#gid=1522333227"",""Rekap UBM!$C$9"")"),1.0)</f>
        <v>1</v>
      </c>
      <c r="D18" s="107">
        <f t="shared" si="1"/>
        <v>100</v>
      </c>
      <c r="E18" s="100" t="str">
        <f>IFERROR(__xludf.DUMMYFUNCTION("IMPORTRANGE(""https://docs.google.com/spreadsheets/d/10iNzN1LqaStEosZKEbqcoOm3IdodNsG31q_nR0Y6WGo/edit#gid=1522333227"",""Rekap UBM!$E$9"")"),"")</f>
        <v/>
      </c>
      <c r="F18" s="108" t="str">
        <f>IFERROR(__xludf.DUMMYFUNCTION("IMPORTRANGE(""https://docs.google.com/spreadsheets/d/10iNzN1LqaStEosZKEbqcoOm3IdodNsG31q_nR0Y6WGo/edit#gid=1522333227"",""Rekap UBM!$F$9"")"),"")</f>
        <v/>
      </c>
      <c r="G18" s="107" t="str">
        <f t="shared" si="2"/>
        <v>#DIV/0!</v>
      </c>
      <c r="H18" s="108" t="str">
        <f>IFERROR(__xludf.DUMMYFUNCTION("IMPORTRANGE(""https://docs.google.com/spreadsheets/d/10iNzN1LqaStEosZKEbqcoOm3IdodNsG31q_nR0Y6WGo/edit#gid=1522333227"",""Rekap UBM!$H$9"")"),"")</f>
        <v/>
      </c>
      <c r="I18" s="108" t="str">
        <f>IFERROR(__xludf.DUMMYFUNCTION("IMPORTRANGE(""https://docs.google.com/spreadsheets/d/10iNzN1LqaStEosZKEbqcoOm3IdodNsG31q_nR0Y6WGo/edit#gid=1522333227"",""Rekap UBM!$I$9"")"),"")</f>
        <v/>
      </c>
      <c r="J18" s="107" t="str">
        <f t="shared" si="3"/>
        <v>#DIV/0!</v>
      </c>
    </row>
    <row r="19">
      <c r="A19" s="99" t="str">
        <f>'SPM-Uspro'!$C$22</f>
        <v>#REF!</v>
      </c>
      <c r="B19" s="100">
        <f>IFERROR(__xludf.DUMMYFUNCTION("IMPORTRANGE(""https://docs.google.com/spreadsheets/d/17PsIU8VcCQeO2M4DM42K9vv32GkafaaF1LxQevQ8tAQ/edit#gid=1892753874"",""Rekap UBM!$B$9"")"),1.0)</f>
        <v>1</v>
      </c>
      <c r="C19" s="100">
        <f>IFERROR(__xludf.DUMMYFUNCTION("IMPORTRANGE(""https://docs.google.com/spreadsheets/d/17PsIU8VcCQeO2M4DM42K9vv32GkafaaF1LxQevQ8tAQ/edit#gid=1892753874"",""Rekap UBM!$C$9"")"),0.0)</f>
        <v>0</v>
      </c>
      <c r="D19" s="107">
        <f t="shared" si="1"/>
        <v>0</v>
      </c>
      <c r="E19" s="100" t="str">
        <f>IFERROR(__xludf.DUMMYFUNCTION("IMPORTRANGE(""https://docs.google.com/spreadsheets/d/17PsIU8VcCQeO2M4DM42K9vv32GkafaaF1LxQevQ8tAQ/edit#gid=1892753874"",""Rekap UBM!$E$9"")"),"")</f>
        <v/>
      </c>
      <c r="F19" s="108" t="str">
        <f>IFERROR(__xludf.DUMMYFUNCTION("IMPORTRANGE(""https://docs.google.com/spreadsheets/d/17PsIU8VcCQeO2M4DM42K9vv32GkafaaF1LxQevQ8tAQ/edit#gid=1892753874"",""Rekap UBM!$F$9"")"),"")</f>
        <v/>
      </c>
      <c r="G19" s="107" t="str">
        <f t="shared" si="2"/>
        <v>#DIV/0!</v>
      </c>
      <c r="H19" s="108" t="str">
        <f>IFERROR(__xludf.DUMMYFUNCTION("IMPORTRANGE(""https://docs.google.com/spreadsheets/d/17PsIU8VcCQeO2M4DM42K9vv32GkafaaF1LxQevQ8tAQ/edit#gid=1892753874"",""Rekap UBM!$H$9"")"),"")</f>
        <v/>
      </c>
      <c r="I19" s="108" t="str">
        <f>IFERROR(__xludf.DUMMYFUNCTION("IMPORTRANGE(""https://docs.google.com/spreadsheets/d/17PsIU8VcCQeO2M4DM42K9vv32GkafaaF1LxQevQ8tAQ/edit#gid=1892753874"",""Rekap UBM!$I$9"")"),"")</f>
        <v/>
      </c>
      <c r="J19" s="107" t="str">
        <f t="shared" si="3"/>
        <v>#DIV/0!</v>
      </c>
    </row>
    <row r="20">
      <c r="A20" s="99" t="str">
        <f>'SPM-Uspro'!$C$23</f>
        <v>#REF!</v>
      </c>
      <c r="B20" s="100">
        <f>IFERROR(__xludf.DUMMYFUNCTION("IMPORTRANGE(""https://docs.google.com/spreadsheets/d/1d0Y9C6M4-a1TT0nIK2Gc4IXnbVyxoBB3v7o1biNGAwY/edit#gid=1892753874"",""Rekap UBM!$B$9"")"),1.0)</f>
        <v>1</v>
      </c>
      <c r="C20" s="100">
        <f>IFERROR(__xludf.DUMMYFUNCTION("IMPORTRANGE(""https://docs.google.com/spreadsheets/d/1d0Y9C6M4-a1TT0nIK2Gc4IXnbVyxoBB3v7o1biNGAwY/edit#gid=1892753874"",""Rekap UBM!$C$9"")"),1.0)</f>
        <v>1</v>
      </c>
      <c r="D20" s="107">
        <f t="shared" si="1"/>
        <v>100</v>
      </c>
      <c r="E20" s="100">
        <f>IFERROR(__xludf.DUMMYFUNCTION("IMPORTRANGE(""https://docs.google.com/spreadsheets/d/1d0Y9C6M4-a1TT0nIK2Gc4IXnbVyxoBB3v7o1biNGAwY/edit#gid=1892753874"",""Rekap UBM!$E$9"")"),6.0)</f>
        <v>6</v>
      </c>
      <c r="F20" s="108">
        <f>IFERROR(__xludf.DUMMYFUNCTION("IMPORTRANGE(""https://docs.google.com/spreadsheets/d/1d0Y9C6M4-a1TT0nIK2Gc4IXnbVyxoBB3v7o1biNGAwY/edit#gid=1892753874"",""Rekap UBM!$F$9"")"),0.0)</f>
        <v>0</v>
      </c>
      <c r="G20" s="107">
        <f t="shared" si="2"/>
        <v>0</v>
      </c>
      <c r="H20" s="108" t="str">
        <f>IFERROR(__xludf.DUMMYFUNCTION("IMPORTRANGE(""https://docs.google.com/spreadsheets/d/1d0Y9C6M4-a1TT0nIK2Gc4IXnbVyxoBB3v7o1biNGAwY/edit#gid=1892753874"",""Rekap UBM!$H$9"")"),"")</f>
        <v/>
      </c>
      <c r="I20" s="108">
        <f>IFERROR(__xludf.DUMMYFUNCTION("IMPORTRANGE(""https://docs.google.com/spreadsheets/d/1d0Y9C6M4-a1TT0nIK2Gc4IXnbVyxoBB3v7o1biNGAwY/edit#gid=1892753874"",""Rekap UBM!$I$9"")"),0.0)</f>
        <v>0</v>
      </c>
      <c r="J20" s="107" t="str">
        <f t="shared" si="3"/>
        <v>#DIV/0!</v>
      </c>
    </row>
    <row r="21" ht="15.75" customHeight="1">
      <c r="A21" s="99" t="str">
        <f>'SPM-Uspro'!$C$24</f>
        <v>#REF!</v>
      </c>
      <c r="B21" s="100">
        <f>IFERROR(__xludf.DUMMYFUNCTION("IMPORTRANGE(""https://docs.google.com/spreadsheets/d/1fXA1yQzUNddp7fjR2KF22o4rRJu9lP9Ja9Oi1mRbg_E/edit#gid=1892753874"",""Rekap UBM!$B$9"")"),1.0)</f>
        <v>1</v>
      </c>
      <c r="C21" s="100">
        <f>IFERROR(__xludf.DUMMYFUNCTION("IMPORTRANGE(""https://docs.google.com/spreadsheets/d/1fXA1yQzUNddp7fjR2KF22o4rRJu9lP9Ja9Oi1mRbg_E/edit#gid=1892753874"",""Rekap UBM!$C$9"")"),1.0)</f>
        <v>1</v>
      </c>
      <c r="D21" s="107">
        <f t="shared" si="1"/>
        <v>100</v>
      </c>
      <c r="E21" s="100">
        <f>IFERROR(__xludf.DUMMYFUNCTION("IMPORTRANGE(""https://docs.google.com/spreadsheets/d/1fXA1yQzUNddp7fjR2KF22o4rRJu9lP9Ja9Oi1mRbg_E/edit#gid=1892753874"",""Rekap UBM!$E$9"")"),1.0)</f>
        <v>1</v>
      </c>
      <c r="F21" s="108">
        <f>IFERROR(__xludf.DUMMYFUNCTION("IMPORTRANGE(""https://docs.google.com/spreadsheets/d/1fXA1yQzUNddp7fjR2KF22o4rRJu9lP9Ja9Oi1mRbg_E/edit#gid=1892753874"",""Rekap UBM!$F$9"")"),1.0)</f>
        <v>1</v>
      </c>
      <c r="G21" s="107">
        <f t="shared" si="2"/>
        <v>100</v>
      </c>
      <c r="H21" s="108" t="str">
        <f>IFERROR(__xludf.DUMMYFUNCTION("IMPORTRANGE(""https://docs.google.com/spreadsheets/d/1fXA1yQzUNddp7fjR2KF22o4rRJu9lP9Ja9Oi1mRbg_E/edit#gid=1892753874"",""Rekap UBM!$H$9"")"),"")</f>
        <v/>
      </c>
      <c r="I21" s="108" t="str">
        <f>IFERROR(__xludf.DUMMYFUNCTION("IMPORTRANGE(""https://docs.google.com/spreadsheets/d/1fXA1yQzUNddp7fjR2KF22o4rRJu9lP9Ja9Oi1mRbg_E/edit#gid=1892753874"",""Rekap UBM!$I$9"")"),"")</f>
        <v/>
      </c>
      <c r="J21" s="107" t="str">
        <f t="shared" si="3"/>
        <v>#DIV/0!</v>
      </c>
    </row>
    <row r="22" ht="15.75" customHeight="1">
      <c r="A22" s="99" t="str">
        <f>'SPM-Uspro'!$C$25</f>
        <v>#REF!</v>
      </c>
      <c r="B22" s="100">
        <f>IFERROR(__xludf.DUMMYFUNCTION("IMPORTRANGE(""https://docs.google.com/spreadsheets/d/155aL1qCqCleHwMP0Y8LT5akEbK27R0RIka-lAkeoeEo/edit#gid=1892753874"",""Rekap UBM!$B$9"")"),1.0)</f>
        <v>1</v>
      </c>
      <c r="C22" s="100">
        <f>IFERROR(__xludf.DUMMYFUNCTION("IMPORTRANGE(""https://docs.google.com/spreadsheets/d/155aL1qCqCleHwMP0Y8LT5akEbK27R0RIka-lAkeoeEo/edit#gid=1892753874"",""Rekap UBM!$C$9"")"),1.0)</f>
        <v>1</v>
      </c>
      <c r="D22" s="107">
        <f t="shared" si="1"/>
        <v>100</v>
      </c>
      <c r="E22" s="100">
        <f>IFERROR(__xludf.DUMMYFUNCTION("IMPORTRANGE(""https://docs.google.com/spreadsheets/d/155aL1qCqCleHwMP0Y8LT5akEbK27R0RIka-lAkeoeEo/edit#gid=1892753874"",""Rekap UBM!$E$9"")"),7.0)</f>
        <v>7</v>
      </c>
      <c r="F22" s="108">
        <f>IFERROR(__xludf.DUMMYFUNCTION("IMPORTRANGE(""https://docs.google.com/spreadsheets/d/155aL1qCqCleHwMP0Y8LT5akEbK27R0RIka-lAkeoeEo/edit#gid=1892753874"",""Rekap UBM!$F$9"")"),0.0)</f>
        <v>0</v>
      </c>
      <c r="G22" s="107">
        <f t="shared" si="2"/>
        <v>0</v>
      </c>
      <c r="H22" s="108">
        <f>IFERROR(__xludf.DUMMYFUNCTION("IMPORTRANGE(""https://docs.google.com/spreadsheets/d/155aL1qCqCleHwMP0Y8LT5akEbK27R0RIka-lAkeoeEo/edit#gid=1892753874"",""Rekap UBM!$H$9"")"),2.0)</f>
        <v>2</v>
      </c>
      <c r="I22" s="108">
        <f>IFERROR(__xludf.DUMMYFUNCTION("IMPORTRANGE(""https://docs.google.com/spreadsheets/d/155aL1qCqCleHwMP0Y8LT5akEbK27R0RIka-lAkeoeEo/edit#gid=1892753874"",""Rekap UBM!$I$9"")"),0.0)</f>
        <v>0</v>
      </c>
      <c r="J22" s="107">
        <f t="shared" si="3"/>
        <v>0</v>
      </c>
    </row>
    <row r="23" ht="15.75" customHeight="1">
      <c r="A23" s="99" t="str">
        <f>'SPM-Uspro'!$C$26</f>
        <v>#REF!</v>
      </c>
      <c r="B23" s="100">
        <f>IFERROR(__xludf.DUMMYFUNCTION("IMPORTRANGE(""https://docs.google.com/spreadsheets/d/13FRR1udp0c0o6Nmp_8YHiON78PXr-L4FqQQ028JcBYY/edit#gid=1522333227"",""Rekap UBM!$B$9"")"),1.0)</f>
        <v>1</v>
      </c>
      <c r="C23" s="100">
        <f>IFERROR(__xludf.DUMMYFUNCTION("IMPORTRANGE(""https://docs.google.com/spreadsheets/d/13FRR1udp0c0o6Nmp_8YHiON78PXr-L4FqQQ028JcBYY/edit#gid=1522333227"",""Rekap UBM!$C$9"")"),1.0)</f>
        <v>1</v>
      </c>
      <c r="D23" s="107">
        <f t="shared" si="1"/>
        <v>100</v>
      </c>
      <c r="E23" s="100">
        <f>IFERROR(__xludf.DUMMYFUNCTION("IMPORTRANGE(""https://docs.google.com/spreadsheets/d/13FRR1udp0c0o6Nmp_8YHiON78PXr-L4FqQQ028JcBYY/edit#gid=1522333227"",""Rekap UBM!$E$9"")"),0.0)</f>
        <v>0</v>
      </c>
      <c r="F23" s="108">
        <f>IFERROR(__xludf.DUMMYFUNCTION("IMPORTRANGE(""https://docs.google.com/spreadsheets/d/13FRR1udp0c0o6Nmp_8YHiON78PXr-L4FqQQ028JcBYY/edit#gid=1522333227"",""Rekap UBM!$F$9"")"),0.0)</f>
        <v>0</v>
      </c>
      <c r="G23" s="107" t="str">
        <f t="shared" si="2"/>
        <v>#DIV/0!</v>
      </c>
      <c r="H23" s="108">
        <f>IFERROR(__xludf.DUMMYFUNCTION("IMPORTRANGE(""https://docs.google.com/spreadsheets/d/13FRR1udp0c0o6Nmp_8YHiON78PXr-L4FqQQ028JcBYY/edit#gid=1522333227"",""Rekap UBM!$H$9"")"),0.0)</f>
        <v>0</v>
      </c>
      <c r="I23" s="108">
        <f>IFERROR(__xludf.DUMMYFUNCTION("IMPORTRANGE(""https://docs.google.com/spreadsheets/d/13FRR1udp0c0o6Nmp_8YHiON78PXr-L4FqQQ028JcBYY/edit#gid=1522333227"",""Rekap UBM!$I$9"")"),0.0)</f>
        <v>0</v>
      </c>
      <c r="J23" s="107" t="str">
        <f t="shared" si="3"/>
        <v>#DIV/0!</v>
      </c>
    </row>
    <row r="24" ht="15.75" customHeight="1">
      <c r="A24" s="99" t="str">
        <f>'SPM-Uspro'!$C$27</f>
        <v>#REF!</v>
      </c>
      <c r="B24" s="100">
        <f>IFERROR(__xludf.DUMMYFUNCTION("IMPORTRANGE(""https://docs.google.com/spreadsheets/d/1PVwe4VvYfj1Vj424c9kO9TcQogsBM6TpXMbFve9togc/edit#gid=1522333227"",""Rekap UBM!$B$9"")"),1.0)</f>
        <v>1</v>
      </c>
      <c r="C24" s="100">
        <f>IFERROR(__xludf.DUMMYFUNCTION("IMPORTRANGE(""https://docs.google.com/spreadsheets/d/1PVwe4VvYfj1Vj424c9kO9TcQogsBM6TpXMbFve9togc/edit#gid=1522333227"",""Rekap UBM!$C$9"")"),1.0)</f>
        <v>1</v>
      </c>
      <c r="D24" s="107">
        <f t="shared" si="1"/>
        <v>100</v>
      </c>
      <c r="E24" s="100">
        <f>IFERROR(__xludf.DUMMYFUNCTION("IMPORTRANGE(""https://docs.google.com/spreadsheets/d/1PVwe4VvYfj1Vj424c9kO9TcQogsBM6TpXMbFve9togc/edit#gid=1522333227"",""Rekap UBM!$E$9"")"),3.0)</f>
        <v>3</v>
      </c>
      <c r="F24" s="108">
        <f>IFERROR(__xludf.DUMMYFUNCTION("IMPORTRANGE(""https://docs.google.com/spreadsheets/d/1PVwe4VvYfj1Vj424c9kO9TcQogsBM6TpXMbFve9togc/edit#gid=1522333227"",""Rekap UBM!$F$9"")"),0.0)</f>
        <v>0</v>
      </c>
      <c r="G24" s="107">
        <f t="shared" si="2"/>
        <v>0</v>
      </c>
      <c r="H24" s="108">
        <f>IFERROR(__xludf.DUMMYFUNCTION("IMPORTRANGE(""https://docs.google.com/spreadsheets/d/1PVwe4VvYfj1Vj424c9kO9TcQogsBM6TpXMbFve9togc/edit#gid=1522333227"",""Rekap UBM!$H$9"")"),0.0)</f>
        <v>0</v>
      </c>
      <c r="I24" s="108">
        <f>IFERROR(__xludf.DUMMYFUNCTION("IMPORTRANGE(""https://docs.google.com/spreadsheets/d/1PVwe4VvYfj1Vj424c9kO9TcQogsBM6TpXMbFve9togc/edit#gid=1522333227"",""Rekap UBM!$I$9"")"),0.0)</f>
        <v>0</v>
      </c>
      <c r="J24" s="107" t="str">
        <f t="shared" si="3"/>
        <v>#DIV/0!</v>
      </c>
    </row>
    <row r="25" ht="15.75" customHeight="1">
      <c r="A25" s="99" t="str">
        <f>'SPM-Uspro'!$C$28</f>
        <v>#REF!</v>
      </c>
      <c r="B25" s="100">
        <f>IFERROR(__xludf.DUMMYFUNCTION("IMPORTRANGE(""https://docs.google.com/spreadsheets/d/15JUTNcWxWGx3Ha8qvwbxgnbDbT4v7N3vZYvqPZ68_Xg/edit#gid=1892753874"",""Rekap UBM!$B$9"")"),1.0)</f>
        <v>1</v>
      </c>
      <c r="C25" s="100">
        <f>IFERROR(__xludf.DUMMYFUNCTION("IMPORTRANGE(""https://docs.google.com/spreadsheets/d/15JUTNcWxWGx3Ha8qvwbxgnbDbT4v7N3vZYvqPZ68_Xg/edit#gid=1892753874"",""Rekap UBM!$C$9"")"),1.0)</f>
        <v>1</v>
      </c>
      <c r="D25" s="107">
        <f t="shared" si="1"/>
        <v>100</v>
      </c>
      <c r="E25" s="100" t="str">
        <f>IFERROR(__xludf.DUMMYFUNCTION("IMPORTRANGE(""https://docs.google.com/spreadsheets/d/15JUTNcWxWGx3Ha8qvwbxgnbDbT4v7N3vZYvqPZ68_Xg/edit#gid=1892753874"",""Rekap UBM!$E$9"")"),"")</f>
        <v/>
      </c>
      <c r="F25" s="108" t="str">
        <f>IFERROR(__xludf.DUMMYFUNCTION("IMPORTRANGE(""https://docs.google.com/spreadsheets/d/15JUTNcWxWGx3Ha8qvwbxgnbDbT4v7N3vZYvqPZ68_Xg/edit#gid=1892753874"",""Rekap UBM!$F$9"")"),"")</f>
        <v/>
      </c>
      <c r="G25" s="107" t="str">
        <f t="shared" si="2"/>
        <v>#DIV/0!</v>
      </c>
      <c r="H25" s="108" t="str">
        <f>IFERROR(__xludf.DUMMYFUNCTION("IMPORTRANGE(""https://docs.google.com/spreadsheets/d/15JUTNcWxWGx3Ha8qvwbxgnbDbT4v7N3vZYvqPZ68_Xg/edit#gid=1892753874"",""Rekap UBM!$H$9"")"),"")</f>
        <v/>
      </c>
      <c r="I25" s="108" t="str">
        <f>IFERROR(__xludf.DUMMYFUNCTION("IMPORTRANGE(""https://docs.google.com/spreadsheets/d/15JUTNcWxWGx3Ha8qvwbxgnbDbT4v7N3vZYvqPZ68_Xg/edit#gid=1892753874"",""Rekap UBM!$I$9"")"),"")</f>
        <v/>
      </c>
      <c r="J25" s="107" t="str">
        <f t="shared" si="3"/>
        <v>#DIV/0!</v>
      </c>
    </row>
    <row r="26" ht="15.75" customHeight="1"/>
    <row r="27" ht="15.75" customHeight="1">
      <c r="B27" s="109" t="s">
        <v>54</v>
      </c>
      <c r="C27" s="110"/>
      <c r="D27" s="111" t="s">
        <v>55</v>
      </c>
    </row>
    <row r="28" ht="15.75" customHeight="1">
      <c r="B28" s="110"/>
      <c r="C28" s="110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D7:D9"/>
    <mergeCell ref="E7:E9"/>
    <mergeCell ref="F7:F9"/>
    <mergeCell ref="G7:G9"/>
    <mergeCell ref="H7:H9"/>
    <mergeCell ref="I7:I9"/>
    <mergeCell ref="D27:I28"/>
    <mergeCell ref="A1:C3"/>
    <mergeCell ref="D1:J4"/>
    <mergeCell ref="A4:C4"/>
    <mergeCell ref="A6:J6"/>
    <mergeCell ref="A7:A9"/>
    <mergeCell ref="B7:B9"/>
    <mergeCell ref="C7:C9"/>
    <mergeCell ref="J7:J9"/>
  </mergeCells>
  <hyperlinks>
    <hyperlink display="              Kembali ke _x000a_              Pilihan Program" location="null!A1" ref="A1"/>
    <hyperlink r:id="rId1" ref="A4"/>
  </hyperlinks>
  <printOptions/>
  <pageMargins bottom="0.75" footer="0.0" header="0.0" left="0.7" right="0.7" top="0.75"/>
  <pageSetup orientation="landscape"/>
  <drawing r:id="rId2"/>
</worksheet>
</file>