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Per Puskesmas - Rekap KTR" sheetId="1" r:id="rId4"/>
    <sheet state="hidden" name="Per Puskesmas Rekap UBM" sheetId="2" r:id="rId5"/>
    <sheet state="visible" name="Plyn. Gilut" sheetId="3" r:id="rId6"/>
  </sheets>
  <definedNames/>
  <calcPr/>
  <extLst>
    <ext uri="GoogleSheetsCustomDataVersion2">
      <go:sheetsCustomData xmlns:go="http://customooxmlschemas.google.com/" r:id="rId7" roundtripDataChecksum="5MrD67jjoHWyN06wgZVbGBWpJtqKFux8RLiIZcHh1Ww="/>
    </ext>
  </extLst>
</workbook>
</file>

<file path=xl/sharedStrings.xml><?xml version="1.0" encoding="utf-8"?>
<sst xmlns="http://schemas.openxmlformats.org/spreadsheetml/2006/main" count="109" uniqueCount="69">
  <si>
    <t xml:space="preserve">              Kembali ke _x000a_              Pilihan Program</t>
  </si>
  <si>
    <t>CAPAIAN IKK TAHUN 2024</t>
  </si>
  <si>
    <t>Rekapitulasi Penerapan Kawasan Tanpa Rokok (KTR)</t>
  </si>
  <si>
    <t>download sheet ini</t>
  </si>
  <si>
    <t>PUSKESMAS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</si>
  <si>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</si>
  <si>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</si>
  <si>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</si>
  <si>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</si>
  <si>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</si>
  <si>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</si>
  <si>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</si>
  <si>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</si>
  <si>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>REKAPITULASI PENYELENGGARAAN LAYANAN UBM
KOTA MALANG TAHUN 2024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</si>
  <si>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</si>
  <si>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</si>
  <si>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</si>
  <si>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</si>
  <si>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</si>
  <si>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</si>
  <si>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</si>
  <si>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</si>
  <si>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</si>
  <si>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</si>
  <si>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</si>
  <si>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</si>
  <si>
    <t>LAPORAN PELAYANAN GIGI DAN MULUT</t>
  </si>
  <si>
    <t>PUSKESMAS MOJOLANGU</t>
  </si>
  <si>
    <t>TAHUN 2025</t>
  </si>
  <si>
    <t>NO</t>
  </si>
  <si>
    <t>BULAN</t>
  </si>
  <si>
    <t>JUMLAH PAUD/ TK</t>
  </si>
  <si>
    <t>JUMLAH PAUD/TK MENDAPAT PENYULUHAN/ PEMERIKSAAN KES. GIGI</t>
  </si>
  <si>
    <t>%</t>
  </si>
  <si>
    <t>JUMLAH POSYANDU</t>
  </si>
  <si>
    <t>JUMLAH POSYANDU YANG DIKUNJUNGI TERKAIT GILUT</t>
  </si>
  <si>
    <t>JUMLAH SD/MI</t>
  </si>
  <si>
    <t>JUMLAH SD/MI DGN SIKAT GIGI MASSAL</t>
  </si>
  <si>
    <t>JUMLAH SD/MI MENDAPAT YAN. GIGI</t>
  </si>
  <si>
    <t>JUMLAH KESELURUHAN MURID SD/MI</t>
  </si>
  <si>
    <t>MURID SD/MI YANG DIPERIKSA</t>
  </si>
  <si>
    <t>MURID SD/ MI YANG PERLU PERAWATAN</t>
  </si>
  <si>
    <t>MURID SD/ MI YANG MENDAPAT PERAWATAN</t>
  </si>
  <si>
    <t>JUMLAH SMP/MTs</t>
  </si>
  <si>
    <t>JUMLAH SMP/MTs MENDAPAT YAN. GIGI</t>
  </si>
  <si>
    <t>JUMLAH KESELURUHAN MURID SMP/MTs</t>
  </si>
  <si>
    <t>MURID SMP/MTs YANG DIPERIKSA</t>
  </si>
  <si>
    <t>MURID SMP/MTs YANG PERLU PERAWATAN</t>
  </si>
  <si>
    <t>MURID SMP/MTs YANG MENDAPAT PERAWATAN</t>
  </si>
  <si>
    <t>L</t>
  </si>
  <si>
    <t>P</t>
  </si>
  <si>
    <t>L + P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</si>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</sst>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29">
    <font>
      <sz val="11.0"/>
      <color theme="1"/>
      <name val="Verdana"/>
      <scheme val="minor"/>
    </font>
    <font>
      <b/>
      <u/>
      <sz val="14.0"/>
      <color rgb="FF1155CC"/>
      <name val="Calibri"/>
    </font>
    <font/>
    <font>
      <b/>
      <sz val="16.0"/>
      <color theme="1"/>
      <name val="Calibri"/>
    </font>
    <font>
      <sz val="11.0"/>
      <color theme="1"/>
      <name val="Verdana"/>
    </font>
    <font>
      <b/>
      <u/>
      <sz val="14.0"/>
      <color rgb="FF0000FF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1.0"/>
      <color theme="1"/>
      <name val="Bookman Old Style"/>
    </font>
    <font>
      <sz val="11.0"/>
      <color theme="1"/>
      <name val="Arial Narrow"/>
    </font>
    <font>
      <b/>
      <sz val="12.0"/>
      <color rgb="FF000000"/>
      <name val="Arial Narrow"/>
    </font>
    <font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2.0"/>
      <color rgb="FF000000"/>
      <name val="Calibri"/>
    </font>
    <font>
      <b/>
      <sz val="11.0"/>
      <color rgb="FF000000"/>
      <name val="Arial"/>
    </font>
    <font>
      <b/>
      <sz val="12.0"/>
      <color rgb="FF000000"/>
      <name val="Arial"/>
    </font>
    <font>
      <b/>
      <sz val="11.0"/>
      <color rgb="FF000000"/>
      <name val="Calibri"/>
    </font>
    <font>
      <b/>
      <u/>
      <sz val="12.0"/>
      <color rgb="FF274E13"/>
      <name val="Calibri"/>
    </font>
    <font>
      <b/>
      <sz val="10.0"/>
      <color theme="1"/>
      <name val="Arial"/>
    </font>
    <font>
      <i/>
      <sz val="10.0"/>
      <color theme="1"/>
      <name val="Arial"/>
    </font>
    <font>
      <sz val="11.0"/>
      <color rgb="FF000000"/>
      <name val="Arial Narrow"/>
    </font>
    <font>
      <sz val="11.0"/>
      <color rgb="FF1A1A1A"/>
      <name val="Arial"/>
    </font>
    <font>
      <sz val="11.0"/>
      <color theme="1"/>
      <name val="Arial"/>
    </font>
    <font>
      <b/>
      <sz val="11.0"/>
      <color theme="1"/>
      <name val="Arial Narrow"/>
    </font>
    <font>
      <b/>
      <sz val="11.0"/>
      <color theme="1"/>
      <name val="Arial"/>
    </font>
    <font>
      <sz val="12.0"/>
      <color rgb="FF000000"/>
      <name val="Arial Narrow"/>
    </font>
    <font>
      <b/>
      <sz val="11.0"/>
      <color rgb="FF1A1A1A"/>
      <name val="Arial"/>
    </font>
    <font>
      <sz val="10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FFDCC7"/>
        <bgColor rgb="FFFFDCC7"/>
      </patternFill>
    </fill>
  </fills>
  <borders count="34">
    <border/>
    <border>
      <left/>
      <top/>
    </border>
    <border>
      <top/>
    </border>
    <border>
      <left/>
      <right/>
      <top/>
      <bottom/>
    </border>
    <border>
      <left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/>
      <right/>
      <bottom/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horizontal="center" vertical="center"/>
    </xf>
    <xf borderId="3" fillId="2" fontId="4" numFmtId="0" xfId="0" applyBorder="1" applyFont="1"/>
    <xf borderId="4" fillId="0" fontId="2" numFmtId="0" xfId="0" applyBorder="1" applyFont="1"/>
    <xf borderId="3" fillId="2" fontId="3" numFmtId="0" xfId="0" applyAlignment="1" applyBorder="1" applyFont="1">
      <alignment horizontal="left" vertical="center"/>
    </xf>
    <xf borderId="5" fillId="2" fontId="5" numFmtId="0" xfId="0" applyAlignment="1" applyBorder="1" applyFont="1">
      <alignment horizontal="left" vertical="center"/>
    </xf>
    <xf borderId="6" fillId="0" fontId="2" numFmtId="0" xfId="0" applyBorder="1" applyFont="1"/>
    <xf borderId="0" fillId="0" fontId="6" numFmtId="0" xfId="0" applyAlignment="1" applyFont="1">
      <alignment vertical="center"/>
    </xf>
    <xf borderId="7" fillId="0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0" fillId="0" fontId="6" numFmtId="0" xfId="0" applyAlignment="1" applyFont="1">
      <alignment shrinkToFit="0" vertical="center" wrapText="1"/>
    </xf>
    <xf borderId="11" fillId="0" fontId="2" numFmtId="0" xfId="0" applyBorder="1" applyFont="1"/>
    <xf borderId="12" fillId="0" fontId="7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2" fillId="0" fontId="7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12" fillId="0" fontId="8" numFmtId="0" xfId="0" applyAlignment="1" applyBorder="1" applyFont="1">
      <alignment horizontal="left"/>
    </xf>
    <xf borderId="12" fillId="0" fontId="9" numFmtId="3" xfId="0" applyAlignment="1" applyBorder="1" applyFont="1" applyNumberFormat="1">
      <alignment horizontal="right"/>
    </xf>
    <xf borderId="1" fillId="2" fontId="3" numFmtId="0" xfId="0" applyAlignment="1" applyBorder="1" applyFont="1">
      <alignment horizontal="center" vertical="center"/>
    </xf>
    <xf borderId="8" fillId="3" fontId="10" numFmtId="0" xfId="0" applyAlignment="1" applyBorder="1" applyFill="1" applyFont="1">
      <alignment horizontal="center" vertical="center"/>
    </xf>
    <xf borderId="0" fillId="0" fontId="4" numFmtId="0" xfId="0" applyAlignment="1" applyFont="1">
      <alignment vertical="center"/>
    </xf>
    <xf borderId="14" fillId="4" fontId="10" numFmtId="0" xfId="0" applyAlignment="1" applyBorder="1" applyFill="1" applyFont="1">
      <alignment horizontal="center" shrinkToFit="0" vertical="center" wrapText="1"/>
    </xf>
    <xf borderId="14" fillId="5" fontId="10" numFmtId="0" xfId="0" applyAlignment="1" applyBorder="1" applyFill="1" applyFont="1">
      <alignment horizontal="center" shrinkToFit="0" vertical="center" wrapText="1"/>
    </xf>
    <xf borderId="14" fillId="6" fontId="10" numFmtId="0" xfId="0" applyAlignment="1" applyBorder="1" applyFill="1" applyFont="1">
      <alignment horizontal="center" shrinkToFit="0" vertical="center" wrapText="1"/>
    </xf>
    <xf borderId="15" fillId="0" fontId="11" numFmtId="164" xfId="0" applyAlignment="1" applyBorder="1" applyFont="1" applyNumberFormat="1">
      <alignment horizontal="center"/>
    </xf>
    <xf borderId="13" fillId="0" fontId="9" numFmtId="3" xfId="0" applyAlignment="1" applyBorder="1" applyFont="1" applyNumberFormat="1">
      <alignment horizontal="right"/>
    </xf>
    <xf borderId="0" fillId="0" fontId="12" numFmtId="0" xfId="0" applyFont="1"/>
    <xf borderId="0" fillId="0" fontId="13" numFmtId="0" xfId="0" applyFont="1"/>
    <xf borderId="0" fillId="0" fontId="6" numFmtId="0" xfId="0" applyAlignment="1" applyFont="1">
      <alignment shrinkToFit="0" vertical="top" wrapText="1"/>
    </xf>
    <xf borderId="0" fillId="0" fontId="14" numFmtId="0" xfId="0" applyAlignment="1" applyFont="1">
      <alignment vertical="center"/>
    </xf>
    <xf borderId="3" fillId="7" fontId="15" numFmtId="0" xfId="0" applyAlignment="1" applyBorder="1" applyFill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shrinkToFit="0" vertical="center" wrapText="1"/>
    </xf>
    <xf borderId="0" fillId="0" fontId="14" numFmtId="0" xfId="0" applyAlignment="1" applyFont="1">
      <alignment vertical="top"/>
    </xf>
    <xf borderId="0" fillId="0" fontId="18" numFmtId="0" xfId="0" applyAlignment="1" applyFont="1">
      <alignment vertical="top"/>
    </xf>
    <xf borderId="7" fillId="0" fontId="19" numFmtId="0" xfId="0" applyAlignment="1" applyBorder="1" applyFont="1">
      <alignment horizontal="center" vertical="center"/>
    </xf>
    <xf borderId="7" fillId="7" fontId="19" numFmtId="0" xfId="0" applyAlignment="1" applyBorder="1" applyFont="1">
      <alignment horizontal="center" vertical="center"/>
    </xf>
    <xf borderId="7" fillId="8" fontId="19" numFmtId="0" xfId="0" applyAlignment="1" applyBorder="1" applyFill="1" applyFont="1">
      <alignment horizontal="center" shrinkToFit="0" vertical="center" wrapText="1"/>
    </xf>
    <xf borderId="7" fillId="8" fontId="19" numFmtId="0" xfId="0" applyAlignment="1" applyBorder="1" applyFont="1">
      <alignment horizontal="center" vertical="center"/>
    </xf>
    <xf borderId="7" fillId="9" fontId="19" numFmtId="0" xfId="0" applyAlignment="1" applyBorder="1" applyFill="1" applyFont="1">
      <alignment horizontal="center" shrinkToFit="0" vertical="center" wrapText="1"/>
    </xf>
    <xf borderId="7" fillId="10" fontId="19" numFmtId="0" xfId="0" applyAlignment="1" applyBorder="1" applyFill="1" applyFont="1">
      <alignment horizontal="center" shrinkToFit="0" vertical="center" wrapText="1"/>
    </xf>
    <xf borderId="7" fillId="10" fontId="19" numFmtId="0" xfId="0" applyAlignment="1" applyBorder="1" applyFont="1">
      <alignment horizontal="center" vertical="center"/>
    </xf>
    <xf borderId="16" fillId="10" fontId="19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6" fillId="10" fontId="19" numFmtId="0" xfId="0" applyAlignment="1" applyBorder="1" applyFont="1">
      <alignment horizontal="center" vertical="center"/>
    </xf>
    <xf borderId="7" fillId="11" fontId="19" numFmtId="0" xfId="0" applyAlignment="1" applyBorder="1" applyFill="1" applyFont="1">
      <alignment horizontal="center" shrinkToFit="0" vertical="center" wrapText="1"/>
    </xf>
    <xf borderId="7" fillId="11" fontId="19" numFmtId="0" xfId="0" applyAlignment="1" applyBorder="1" applyFont="1">
      <alignment horizontal="center" vertical="center"/>
    </xf>
    <xf borderId="16" fillId="11" fontId="19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15" fillId="0" fontId="2" numFmtId="0" xfId="0" applyBorder="1" applyFont="1"/>
    <xf borderId="21" fillId="10" fontId="19" numFmtId="0" xfId="0" applyAlignment="1" applyBorder="1" applyFont="1">
      <alignment horizontal="center" vertical="center"/>
    </xf>
    <xf borderId="21" fillId="11" fontId="19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13" fillId="0" fontId="20" numFmtId="0" xfId="0" applyAlignment="1" applyBorder="1" applyFont="1">
      <alignment horizontal="center" vertical="center"/>
    </xf>
    <xf borderId="24" fillId="7" fontId="20" numFmtId="0" xfId="0" applyAlignment="1" applyBorder="1" applyFont="1">
      <alignment horizontal="center" vertical="center"/>
    </xf>
    <xf borderId="24" fillId="8" fontId="20" numFmtId="0" xfId="0" applyAlignment="1" applyBorder="1" applyFont="1">
      <alignment horizontal="center" vertical="center"/>
    </xf>
    <xf borderId="24" fillId="9" fontId="20" numFmtId="0" xfId="0" applyAlignment="1" applyBorder="1" applyFont="1">
      <alignment horizontal="center" vertical="center"/>
    </xf>
    <xf borderId="24" fillId="10" fontId="20" numFmtId="0" xfId="0" applyAlignment="1" applyBorder="1" applyFont="1">
      <alignment horizontal="center" vertical="center"/>
    </xf>
    <xf borderId="24" fillId="11" fontId="20" numFmtId="0" xfId="0" applyAlignment="1" applyBorder="1" applyFont="1">
      <alignment horizontal="center" vertical="center"/>
    </xf>
    <xf borderId="25" fillId="11" fontId="20" numFmtId="0" xfId="0" applyAlignment="1" applyBorder="1" applyFont="1">
      <alignment horizontal="center" vertical="center"/>
    </xf>
    <xf borderId="26" fillId="0" fontId="21" numFmtId="0" xfId="0" applyAlignment="1" applyBorder="1" applyFont="1">
      <alignment horizontal="center"/>
    </xf>
    <xf borderId="27" fillId="0" fontId="9" numFmtId="0" xfId="0" applyAlignment="1" applyBorder="1" applyFont="1">
      <alignment horizontal="left"/>
    </xf>
    <xf borderId="12" fillId="0" fontId="22" numFmtId="3" xfId="0" applyAlignment="1" applyBorder="1" applyFont="1" applyNumberFormat="1">
      <alignment horizontal="center"/>
    </xf>
    <xf borderId="12" fillId="0" fontId="23" numFmtId="164" xfId="0" applyAlignment="1" applyBorder="1" applyFont="1" applyNumberFormat="1">
      <alignment horizontal="center"/>
    </xf>
    <xf borderId="12" fillId="0" fontId="23" numFmtId="3" xfId="0" applyAlignment="1" applyBorder="1" applyFont="1" applyNumberFormat="1">
      <alignment horizontal="center"/>
    </xf>
    <xf borderId="28" fillId="0" fontId="9" numFmtId="0" xfId="0" applyAlignment="1" applyBorder="1" applyFont="1">
      <alignment horizontal="left"/>
    </xf>
    <xf borderId="29" fillId="12" fontId="21" numFmtId="0" xfId="0" applyAlignment="1" applyBorder="1" applyFill="1" applyFont="1">
      <alignment horizontal="center"/>
    </xf>
    <xf borderId="30" fillId="12" fontId="24" numFmtId="0" xfId="0" applyAlignment="1" applyBorder="1" applyFont="1">
      <alignment horizontal="left"/>
    </xf>
    <xf borderId="12" fillId="12" fontId="25" numFmtId="3" xfId="0" applyAlignment="1" applyBorder="1" applyFont="1" applyNumberFormat="1">
      <alignment horizontal="center"/>
    </xf>
    <xf borderId="12" fillId="12" fontId="25" numFmtId="164" xfId="0" applyAlignment="1" applyBorder="1" applyFont="1" applyNumberFormat="1">
      <alignment horizontal="center"/>
    </xf>
    <xf borderId="26" fillId="0" fontId="26" numFmtId="0" xfId="0" applyAlignment="1" applyBorder="1" applyFont="1">
      <alignment horizontal="center"/>
    </xf>
    <xf borderId="12" fillId="12" fontId="27" numFmtId="3" xfId="0" applyAlignment="1" applyBorder="1" applyFont="1" applyNumberFormat="1">
      <alignment horizontal="center"/>
    </xf>
    <xf borderId="31" fillId="12" fontId="21" numFmtId="0" xfId="0" applyAlignment="1" applyBorder="1" applyFont="1">
      <alignment horizontal="center"/>
    </xf>
    <xf borderId="32" fillId="12" fontId="24" numFmtId="0" xfId="0" applyAlignment="1" applyBorder="1" applyFont="1">
      <alignment horizontal="left"/>
    </xf>
    <xf borderId="8" fillId="0" fontId="25" numFmtId="0" xfId="0" applyAlignment="1" applyBorder="1" applyFont="1">
      <alignment horizontal="center"/>
    </xf>
    <xf borderId="15" fillId="0" fontId="25" numFmtId="3" xfId="0" applyAlignment="1" applyBorder="1" applyFont="1" applyNumberFormat="1">
      <alignment horizontal="center"/>
    </xf>
    <xf borderId="12" fillId="0" fontId="25" numFmtId="164" xfId="0" applyAlignment="1" applyBorder="1" applyFont="1" applyNumberFormat="1">
      <alignment horizontal="center"/>
    </xf>
    <xf borderId="33" fillId="7" fontId="4" numFmtId="0" xfId="0" applyBorder="1" applyFont="1"/>
    <xf borderId="0" fillId="0" fontId="4" numFmtId="3" xfId="0" applyFont="1" applyNumberFormat="1"/>
    <xf borderId="0" fillId="0" fontId="28" numFmtId="3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525917830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233102740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4.33"/>
    <col customWidth="1" min="2" max="2" width="28.44"/>
    <col customWidth="1" min="3" max="3" width="30.78"/>
    <col customWidth="1" min="4" max="4" width="27.89"/>
    <col customWidth="1" min="5" max="11" width="16.78"/>
    <col customWidth="1" min="19" max="19" width="4.7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/>
      <c r="C2" s="6" t="s">
        <v>1</v>
      </c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>
      <c r="A3" s="5"/>
      <c r="C3" s="6" t="s">
        <v>2</v>
      </c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31.5" customHeight="1">
      <c r="A4" s="7" t="s">
        <v>3</v>
      </c>
      <c r="B4" s="8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>
      <c r="A6" s="9"/>
      <c r="B6" s="10" t="s">
        <v>4</v>
      </c>
      <c r="C6" s="11" t="s">
        <v>5</v>
      </c>
      <c r="D6" s="12"/>
      <c r="E6" s="12"/>
      <c r="F6" s="12"/>
      <c r="G6" s="12"/>
      <c r="H6" s="12"/>
      <c r="I6" s="13"/>
      <c r="J6" s="9"/>
      <c r="K6" s="9"/>
      <c r="L6" s="9"/>
      <c r="M6" s="9"/>
      <c r="N6" s="9"/>
      <c r="O6" s="9"/>
      <c r="P6" s="9"/>
      <c r="Q6" s="9"/>
    </row>
    <row r="7">
      <c r="A7" s="14"/>
      <c r="B7" s="15"/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4"/>
      <c r="K7" s="14"/>
      <c r="L7" s="14"/>
      <c r="M7" s="14"/>
      <c r="N7" s="14"/>
      <c r="O7" s="14"/>
      <c r="P7" s="14"/>
      <c r="Q7" s="14"/>
    </row>
    <row r="8">
      <c r="A8" s="9"/>
      <c r="B8" s="17"/>
      <c r="C8" s="18">
        <v>1.0</v>
      </c>
      <c r="D8" s="18">
        <v>2.0</v>
      </c>
      <c r="E8" s="18">
        <v>3.0</v>
      </c>
      <c r="F8" s="18">
        <v>4.0</v>
      </c>
      <c r="G8" s="18">
        <v>5.0</v>
      </c>
      <c r="H8" s="18">
        <v>6.0</v>
      </c>
      <c r="I8" s="18">
        <v>7.0</v>
      </c>
      <c r="J8" s="19"/>
      <c r="K8" s="19"/>
      <c r="L8" s="19"/>
      <c r="M8" s="19"/>
      <c r="N8" s="19"/>
      <c r="O8" s="19"/>
      <c r="P8" s="19"/>
      <c r="Q8" s="9"/>
    </row>
    <row r="9">
      <c r="B9" s="20" t="str">
        <f>'SPM-Uspro'!$C$13</f>
        <v>#REF!</v>
      </c>
      <c r="C9" s="21">
        <f>IFERROR(__xludf.DUMMYFUNCTION("IMPORTRANGE(""https://docs.google.com/spreadsheets/d/1P0UTisakTE5EAx-MYEjY2DmhSnLNqqRm6P3NrlYXL2I/edit#gid=1892753874"",""Rekap KTR!$E$6"")"),6.0)</f>
        <v>6</v>
      </c>
      <c r="D9" s="21">
        <f>IFERROR(__xludf.DUMMYFUNCTION("IMPORTRANGE(""https://docs.google.com/spreadsheets/d/1P0UTisakTE5EAx-MYEjY2DmhSnLNqqRm6P3NrlYXL2I/edit#gid=1892753874"",""Rekap KTR!$E$7"")"),26.0)</f>
        <v>26</v>
      </c>
      <c r="E9" s="21">
        <f>IFERROR(__xludf.DUMMYFUNCTION("IMPORTRANGE(""https://docs.google.com/spreadsheets/d/1P0UTisakTE5EAx-MYEjY2DmhSnLNqqRm6P3NrlYXL2I/edit#gid=1892753874"",""Rekap KTR!$E$8"")"),56.0)</f>
        <v>56</v>
      </c>
      <c r="F9" s="21">
        <f>IFERROR(__xludf.DUMMYFUNCTION("IMPORTRANGE(""https://docs.google.com/spreadsheets/d/1P0UTisakTE5EAx-MYEjY2DmhSnLNqqRm6P3NrlYXL2I/edit#gid=1892753874"",""Rekap KTR!$E$9"")"),8.0)</f>
        <v>8</v>
      </c>
      <c r="G9" s="21">
        <f>IFERROR(__xludf.DUMMYFUNCTION("IMPORTRANGE(""https://docs.google.com/spreadsheets/d/1P0UTisakTE5EAx-MYEjY2DmhSnLNqqRm6P3NrlYXL2I/edit#gid=1892753874"",""Rekap KTR!$E$10"")"),0.0)</f>
        <v>0</v>
      </c>
      <c r="H9" s="21">
        <f>IFERROR(__xludf.DUMMYFUNCTION("IMPORTRANGE(""https://docs.google.com/spreadsheets/d/1P0UTisakTE5EAx-MYEjY2DmhSnLNqqRm6P3NrlYXL2I/edit#gid=1892753874"",""Rekap KTR!$E$11"")"),8.0)</f>
        <v>8</v>
      </c>
      <c r="I9" s="21">
        <f>IFERROR(__xludf.DUMMYFUNCTION("IMPORTRANGE(""https://docs.google.com/spreadsheets/d/1P0UTisakTE5EAx-MYEjY2DmhSnLNqqRm6P3NrlYXL2I/edit#gid=1892753874"",""Rekap KTR!$E$12"")"),0.0)</f>
        <v>0</v>
      </c>
    </row>
    <row r="10">
      <c r="B10" s="20" t="str">
        <f>'SPM-Uspro'!$C$14</f>
        <v>#REF!</v>
      </c>
      <c r="C10" s="21">
        <f>IFERROR(__xludf.DUMMYFUNCTION("IMPORTRANGE(""https://docs.google.com/spreadsheets/d/1jB-UnyPBzGq1HOZkIVtft_Wo28OEKcZNsVgS5r_boTE/edit#gid=1522333227"",""Rekap KTR!$E$6"")"),12.0)</f>
        <v>12</v>
      </c>
      <c r="D10" s="21">
        <f>IFERROR(__xludf.DUMMYFUNCTION("IMPORTRANGE(""https://docs.google.com/spreadsheets/d/1jB-UnyPBzGq1HOZkIVtft_Wo28OEKcZNsVgS5r_boTE/edit#gid=1522333227"",""Rekap KTR!$E$7"")"),53.0)</f>
        <v>53</v>
      </c>
      <c r="E10" s="21">
        <f>IFERROR(__xludf.DUMMYFUNCTION("IMPORTRANGE(""https://docs.google.com/spreadsheets/d/1jB-UnyPBzGq1HOZkIVtft_Wo28OEKcZNsVgS5r_boTE/edit#gid=1522333227"",""Rekap KTR!$E$8"")"),56.0)</f>
        <v>56</v>
      </c>
      <c r="F10" s="21" t="str">
        <f>IFERROR(__xludf.DUMMYFUNCTION("IMPORTRANGE(""https://docs.google.com/spreadsheets/d/1jB-UnyPBzGq1HOZkIVtft_Wo28OEKcZNsVgS5r_boTE/edit#gid=1522333227"",""Rekap KTR!$E$9"")"),"")</f>
        <v/>
      </c>
      <c r="G10" s="21">
        <f>IFERROR(__xludf.DUMMYFUNCTION("IMPORTRANGE(""https://docs.google.com/spreadsheets/d/1jB-UnyPBzGq1HOZkIVtft_Wo28OEKcZNsVgS5r_boTE/edit#gid=1522333227"",""Rekap KTR!$E$10"")"),0.0)</f>
        <v>0</v>
      </c>
      <c r="H10" s="21" t="str">
        <f>IFERROR(__xludf.DUMMYFUNCTION("IMPORTRANGE(""https://docs.google.com/spreadsheets/d/1jB-UnyPBzGq1HOZkIVtft_Wo28OEKcZNsVgS5r_boTE/edit#gid=1522333227"",""Rekap KTR!$E$11"")"),"")</f>
        <v/>
      </c>
      <c r="I10" s="21">
        <f>IFERROR(__xludf.DUMMYFUNCTION("IMPORTRANGE(""https://docs.google.com/spreadsheets/d/1jB-UnyPBzGq1HOZkIVtft_Wo28OEKcZNsVgS5r_boTE/edit#gid=1522333227"",""Rekap KTR!$E$12"")"),0.0)</f>
        <v>0</v>
      </c>
    </row>
    <row r="11">
      <c r="B11" s="20" t="str">
        <f>'SPM-Uspro'!$C$15</f>
        <v>#REF!</v>
      </c>
      <c r="C11" s="21">
        <f>IFERROR(__xludf.DUMMYFUNCTION("IMPORTRANGE(""https://docs.google.com/spreadsheets/d/1gHFrRpJ5fnyxfJI-jxT5z1B1L7rSV8E5sIZEN90Rfhc/edit#gid=1522333227"",""Rekap KTR!$E$6"")"),4.0)</f>
        <v>4</v>
      </c>
      <c r="D11" s="21">
        <f>IFERROR(__xludf.DUMMYFUNCTION("IMPORTRANGE(""https://docs.google.com/spreadsheets/d/1gHFrRpJ5fnyxfJI-jxT5z1B1L7rSV8E5sIZEN90Rfhc/edit#gid=1522333227"",""Rekap KTR!$E$7"")"),29.0)</f>
        <v>29</v>
      </c>
      <c r="E11" s="21">
        <f>IFERROR(__xludf.DUMMYFUNCTION("IMPORTRANGE(""https://docs.google.com/spreadsheets/d/1gHFrRpJ5fnyxfJI-jxT5z1B1L7rSV8E5sIZEN90Rfhc/edit#gid=1522333227"",""Rekap KTR!$E$8"")"),31.0)</f>
        <v>31</v>
      </c>
      <c r="F11" s="21" t="str">
        <f>IFERROR(__xludf.DUMMYFUNCTION("IMPORTRANGE(""https://docs.google.com/spreadsheets/d/1gHFrRpJ5fnyxfJI-jxT5z1B1L7rSV8E5sIZEN90Rfhc/edit#gid=1522333227"",""Rekap KTR!$E$9"")"),"")</f>
        <v/>
      </c>
      <c r="G11" s="21" t="str">
        <f>IFERROR(__xludf.DUMMYFUNCTION("IMPORTRANGE(""https://docs.google.com/spreadsheets/d/1gHFrRpJ5fnyxfJI-jxT5z1B1L7rSV8E5sIZEN90Rfhc/edit#gid=1522333227"",""Rekap KTR!$E$10"")"),"")</f>
        <v/>
      </c>
      <c r="H11" s="21" t="str">
        <f>IFERROR(__xludf.DUMMYFUNCTION("IMPORTRANGE(""https://docs.google.com/spreadsheets/d/1gHFrRpJ5fnyxfJI-jxT5z1B1L7rSV8E5sIZEN90Rfhc/edit#gid=1522333227"",""Rekap KTR!$E$11"")"),"")</f>
        <v/>
      </c>
      <c r="I11" s="21" t="str">
        <f>IFERROR(__xludf.DUMMYFUNCTION("IMPORTRANGE(""https://docs.google.com/spreadsheets/d/1gHFrRpJ5fnyxfJI-jxT5z1B1L7rSV8E5sIZEN90Rfhc/edit#gid=1522333227"",""Rekap KTR!$E$12"")"),"")</f>
        <v/>
      </c>
    </row>
    <row r="12">
      <c r="B12" s="20" t="str">
        <f>'SPM-Uspro'!$C$16</f>
        <v>#REF!</v>
      </c>
      <c r="C12" s="21">
        <f>IFERROR(__xludf.DUMMYFUNCTION("IMPORTRANGE(""https://docs.google.com/spreadsheets/d/1saC2UP2JuYJ7WRPxjh8EMf_BSfGZ18Ous8sVKGLr-Ng/edit#gid=1892753874"",""Rekap KTR!$E$6"")"),8.0)</f>
        <v>8</v>
      </c>
      <c r="D12" s="21">
        <f>IFERROR(__xludf.DUMMYFUNCTION("IMPORTRANGE(""https://docs.google.com/spreadsheets/d/1saC2UP2JuYJ7WRPxjh8EMf_BSfGZ18Ous8sVKGLr-Ng/edit#gid=1892753874"",""Rekap KTR!$E$7"")"),41.0)</f>
        <v>41</v>
      </c>
      <c r="E12" s="21">
        <f>IFERROR(__xludf.DUMMYFUNCTION("IMPORTRANGE(""https://docs.google.com/spreadsheets/d/1saC2UP2JuYJ7WRPxjh8EMf_BSfGZ18Ous8sVKGLr-Ng/edit#gid=1892753874"",""Rekap KTR!$E$8"")"),41.0)</f>
        <v>41</v>
      </c>
      <c r="F12" s="21">
        <f>IFERROR(__xludf.DUMMYFUNCTION("IMPORTRANGE(""https://docs.google.com/spreadsheets/d/1saC2UP2JuYJ7WRPxjh8EMf_BSfGZ18Ous8sVKGLr-Ng/edit#gid=1892753874"",""Rekap KTR!$E$9"")"),14.0)</f>
        <v>14</v>
      </c>
      <c r="G12" s="21">
        <f>IFERROR(__xludf.DUMMYFUNCTION("IMPORTRANGE(""https://docs.google.com/spreadsheets/d/1saC2UP2JuYJ7WRPxjh8EMf_BSfGZ18Ous8sVKGLr-Ng/edit#gid=1892753874"",""Rekap KTR!$E$10"")"),0.0)</f>
        <v>0</v>
      </c>
      <c r="H12" s="21">
        <f>IFERROR(__xludf.DUMMYFUNCTION("IMPORTRANGE(""https://docs.google.com/spreadsheets/d/1saC2UP2JuYJ7WRPxjh8EMf_BSfGZ18Ous8sVKGLr-Ng/edit#gid=1892753874"",""Rekap KTR!$E$11"")"),0.0)</f>
        <v>0</v>
      </c>
      <c r="I12" s="21">
        <f>IFERROR(__xludf.DUMMYFUNCTION("IMPORTRANGE(""https://docs.google.com/spreadsheets/d/1saC2UP2JuYJ7WRPxjh8EMf_BSfGZ18Ous8sVKGLr-Ng/edit#gid=1892753874"",""Rekap KTR!$E$12"")"),0.0)</f>
        <v>0</v>
      </c>
    </row>
    <row r="13">
      <c r="B13" s="20" t="str">
        <f>'SPM-Uspro'!$C$17</f>
        <v>#REF!</v>
      </c>
      <c r="C13" s="21">
        <f>IFERROR(__xludf.DUMMYFUNCTION("IMPORTRANGE(""https://docs.google.com/spreadsheets/d/1ApPPV7RPuDI1EDOKjkoDXkV5Yd_NofeQTYTtAHUYGGw/edit#gid=1522333227"",""Rekap KTR!$E$6"")"),3.0)</f>
        <v>3</v>
      </c>
      <c r="D13" s="21">
        <f>IFERROR(__xludf.DUMMYFUNCTION("IMPORTRANGE(""https://docs.google.com/spreadsheets/d/1ApPPV7RPuDI1EDOKjkoDXkV5Yd_NofeQTYTtAHUYGGw/edit#gid=1522333227"",""Rekap KTR!$E$7"")"),20.0)</f>
        <v>20</v>
      </c>
      <c r="E13" s="21">
        <f>IFERROR(__xludf.DUMMYFUNCTION("IMPORTRANGE(""https://docs.google.com/spreadsheets/d/1ApPPV7RPuDI1EDOKjkoDXkV5Yd_NofeQTYTtAHUYGGw/edit#gid=1522333227"",""Rekap KTR!$E$8"")"),6.0)</f>
        <v>6</v>
      </c>
      <c r="F13" s="21" t="str">
        <f>IFERROR(__xludf.DUMMYFUNCTION("IMPORTRANGE(""https://docs.google.com/spreadsheets/d/1ApPPV7RPuDI1EDOKjkoDXkV5Yd_NofeQTYTtAHUYGGw/edit#gid=1522333227"",""Rekap KTR!$E$9"")"),"")</f>
        <v/>
      </c>
      <c r="G13" s="21" t="str">
        <f>IFERROR(__xludf.DUMMYFUNCTION("IMPORTRANGE(""https://docs.google.com/spreadsheets/d/1ApPPV7RPuDI1EDOKjkoDXkV5Yd_NofeQTYTtAHUYGGw/edit#gid=1522333227"",""Rekap KTR!$E$10"")"),"")</f>
        <v/>
      </c>
      <c r="H13" s="21" t="str">
        <f>IFERROR(__xludf.DUMMYFUNCTION("IMPORTRANGE(""https://docs.google.com/spreadsheets/d/1ApPPV7RPuDI1EDOKjkoDXkV5Yd_NofeQTYTtAHUYGGw/edit#gid=1522333227"",""Rekap KTR!$E$11"")"),"")</f>
        <v/>
      </c>
      <c r="I13" s="21" t="str">
        <f>IFERROR(__xludf.DUMMYFUNCTION("IMPORTRANGE(""https://docs.google.com/spreadsheets/d/1ApPPV7RPuDI1EDOKjkoDXkV5Yd_NofeQTYTtAHUYGGw/edit#gid=1522333227"",""Rekap KTR!$E$12"")"),"")</f>
        <v/>
      </c>
    </row>
    <row r="14">
      <c r="B14" s="20" t="str">
        <f>'SPM-Uspro'!$C$18</f>
        <v>#REF!</v>
      </c>
      <c r="C14" s="21">
        <f>IFERROR(__xludf.DUMMYFUNCTION("IMPORTRANGE(""https://docs.google.com/spreadsheets/d/1iV_nqIfkAdyO_vl_QARxWbfnGcK2KlCCS94aVJ2QbTI/edit#gid=1522333227"",""Rekap KTR!$E$6"")"),6.0)</f>
        <v>6</v>
      </c>
      <c r="D14" s="21">
        <f>IFERROR(__xludf.DUMMYFUNCTION("IMPORTRANGE(""https://docs.google.com/spreadsheets/d/1iV_nqIfkAdyO_vl_QARxWbfnGcK2KlCCS94aVJ2QbTI/edit#gid=1522333227"",""Rekap KTR!$E$7"")"),26.0)</f>
        <v>26</v>
      </c>
      <c r="E14" s="21">
        <f>IFERROR(__xludf.DUMMYFUNCTION("IMPORTRANGE(""https://docs.google.com/spreadsheets/d/1iV_nqIfkAdyO_vl_QARxWbfnGcK2KlCCS94aVJ2QbTI/edit#gid=1522333227"",""Rekap KTR!$E$8"")"),13.0)</f>
        <v>13</v>
      </c>
      <c r="F14" s="21">
        <f>IFERROR(__xludf.DUMMYFUNCTION("IMPORTRANGE(""https://docs.google.com/spreadsheets/d/1iV_nqIfkAdyO_vl_QARxWbfnGcK2KlCCS94aVJ2QbTI/edit#gid=1522333227"",""Rekap KTR!$E$9"")"),0.0)</f>
        <v>0</v>
      </c>
      <c r="G14" s="21">
        <f>IFERROR(__xludf.DUMMYFUNCTION("IMPORTRANGE(""https://docs.google.com/spreadsheets/d/1iV_nqIfkAdyO_vl_QARxWbfnGcK2KlCCS94aVJ2QbTI/edit#gid=1522333227"",""Rekap KTR!$E$10"")"),0.0)</f>
        <v>0</v>
      </c>
      <c r="H14" s="21">
        <f>IFERROR(__xludf.DUMMYFUNCTION("IMPORTRANGE(""https://docs.google.com/spreadsheets/d/1iV_nqIfkAdyO_vl_QARxWbfnGcK2KlCCS94aVJ2QbTI/edit#gid=1522333227"",""Rekap KTR!$E$11"")"),0.0)</f>
        <v>0</v>
      </c>
      <c r="I14" s="21">
        <f>IFERROR(__xludf.DUMMYFUNCTION("IMPORTRANGE(""https://docs.google.com/spreadsheets/d/1iV_nqIfkAdyO_vl_QARxWbfnGcK2KlCCS94aVJ2QbTI/edit#gid=1522333227"",""Rekap KTR!$E$12"")"),0.0)</f>
        <v>0</v>
      </c>
    </row>
    <row r="15">
      <c r="B15" s="20" t="str">
        <f>'SPM-Uspro'!$C$19</f>
        <v>#REF!</v>
      </c>
      <c r="C15" s="21">
        <f>IFERROR(__xludf.DUMMYFUNCTION("IMPORTRANGE(""https://docs.google.com/spreadsheets/d/1zz70Lj6oBg1MOPSG6KJcsMeqBNtXMHYICRkg7kpt_d0/edit#gid=1892753874"",""Rekap KTR!$E$6"")"),9.0)</f>
        <v>9</v>
      </c>
      <c r="D15" s="21">
        <f>IFERROR(__xludf.DUMMYFUNCTION("IMPORTRANGE(""https://docs.google.com/spreadsheets/d/1zz70Lj6oBg1MOPSG6KJcsMeqBNtXMHYICRkg7kpt_d0/edit#gid=1892753874"",""Rekap KTR!$E$7"")"),47.0)</f>
        <v>47</v>
      </c>
      <c r="E15" s="21">
        <f>IFERROR(__xludf.DUMMYFUNCTION("IMPORTRANGE(""https://docs.google.com/spreadsheets/d/1zz70Lj6oBg1MOPSG6KJcsMeqBNtXMHYICRkg7kpt_d0/edit#gid=1892753874"",""Rekap KTR!$E$8"")"),29.0)</f>
        <v>29</v>
      </c>
      <c r="F15" s="21">
        <f>IFERROR(__xludf.DUMMYFUNCTION("IMPORTRANGE(""https://docs.google.com/spreadsheets/d/1zz70Lj6oBg1MOPSG6KJcsMeqBNtXMHYICRkg7kpt_d0/edit#gid=1892753874"",""Rekap KTR!$E$9"")"),3.0)</f>
        <v>3</v>
      </c>
      <c r="G15" s="21">
        <f>IFERROR(__xludf.DUMMYFUNCTION("IMPORTRANGE(""https://docs.google.com/spreadsheets/d/1zz70Lj6oBg1MOPSG6KJcsMeqBNtXMHYICRkg7kpt_d0/edit#gid=1892753874"",""Rekap KTR!$E$10"")"),1.0)</f>
        <v>1</v>
      </c>
      <c r="H15" s="21">
        <f>IFERROR(__xludf.DUMMYFUNCTION("IMPORTRANGE(""https://docs.google.com/spreadsheets/d/1zz70Lj6oBg1MOPSG6KJcsMeqBNtXMHYICRkg7kpt_d0/edit#gid=1892753874"",""Rekap KTR!$E$11"")"),4.0)</f>
        <v>4</v>
      </c>
      <c r="I15" s="21">
        <f>IFERROR(__xludf.DUMMYFUNCTION("IMPORTRANGE(""https://docs.google.com/spreadsheets/d/1zz70Lj6oBg1MOPSG6KJcsMeqBNtXMHYICRkg7kpt_d0/edit#gid=1892753874"",""Rekap KTR!$E$12"")"),4.0)</f>
        <v>4</v>
      </c>
    </row>
    <row r="16">
      <c r="B16" s="20" t="str">
        <f>'SPM-Uspro'!$C$20</f>
        <v>#REF!</v>
      </c>
      <c r="C16" s="21">
        <f>IFERROR(__xludf.DUMMYFUNCTION("IMPORTRANGE(""https://docs.google.com/spreadsheets/d/1773f1iHRnXhbrVjAHR7zUpu3neZdvtp1a2ikB9LJu8U/edit#gid=1522333227"",""Rekap KTR!$E$6"")"),39.0)</f>
        <v>39</v>
      </c>
      <c r="D16" s="21">
        <f>IFERROR(__xludf.DUMMYFUNCTION("IMPORTRANGE(""https://docs.google.com/spreadsheets/d/1773f1iHRnXhbrVjAHR7zUpu3neZdvtp1a2ikB9LJu8U/edit#gid=1522333227"",""Rekap KTR!$E$7"")"),43.0)</f>
        <v>43</v>
      </c>
      <c r="E16" s="21">
        <f>IFERROR(__xludf.DUMMYFUNCTION("IMPORTRANGE(""https://docs.google.com/spreadsheets/d/1773f1iHRnXhbrVjAHR7zUpu3neZdvtp1a2ikB9LJu8U/edit#gid=1522333227"",""Rekap KTR!$E$8"")"),32.0)</f>
        <v>32</v>
      </c>
      <c r="F16" s="21">
        <f>IFERROR(__xludf.DUMMYFUNCTION("IMPORTRANGE(""https://docs.google.com/spreadsheets/d/1773f1iHRnXhbrVjAHR7zUpu3neZdvtp1a2ikB9LJu8U/edit#gid=1522333227"",""Rekap KTR!$E$9"")"),21.0)</f>
        <v>21</v>
      </c>
      <c r="G16" s="21">
        <f>IFERROR(__xludf.DUMMYFUNCTION("IMPORTRANGE(""https://docs.google.com/spreadsheets/d/1773f1iHRnXhbrVjAHR7zUpu3neZdvtp1a2ikB9LJu8U/edit#gid=1522333227"",""Rekap KTR!$E$10"")"),0.0)</f>
        <v>0</v>
      </c>
      <c r="H16" s="21">
        <f>IFERROR(__xludf.DUMMYFUNCTION("IMPORTRANGE(""https://docs.google.com/spreadsheets/d/1773f1iHRnXhbrVjAHR7zUpu3neZdvtp1a2ikB9LJu8U/edit#gid=1522333227"",""Rekap KTR!$E$11"")"),16.0)</f>
        <v>16</v>
      </c>
      <c r="I16" s="21">
        <f>IFERROR(__xludf.DUMMYFUNCTION("IMPORTRANGE(""https://docs.google.com/spreadsheets/d/1773f1iHRnXhbrVjAHR7zUpu3neZdvtp1a2ikB9LJu8U/edit#gid=1522333227"",""Rekap KTR!$E$12"")"),0.0)</f>
        <v>0</v>
      </c>
    </row>
    <row r="17">
      <c r="B17" s="20" t="str">
        <f>'SPM-Uspro'!$C$21</f>
        <v>#REF!</v>
      </c>
      <c r="C17" s="21">
        <f>IFERROR(__xludf.DUMMYFUNCTION("IMPORTRANGE(""https://docs.google.com/spreadsheets/d/10iNzN1LqaStEosZKEbqcoOm3IdodNsG31q_nR0Y6WGo/edit#gid=1522333227"",""Rekap KTR!$E$6"")"),1.0)</f>
        <v>1</v>
      </c>
      <c r="D17" s="21">
        <f>IFERROR(__xludf.DUMMYFUNCTION("IMPORTRANGE(""https://docs.google.com/spreadsheets/d/10iNzN1LqaStEosZKEbqcoOm3IdodNsG31q_nR0Y6WGo/edit#gid=1522333227"",""Rekap KTR!$E$7"")"),24.0)</f>
        <v>24</v>
      </c>
      <c r="E17" s="21">
        <f>IFERROR(__xludf.DUMMYFUNCTION("IMPORTRANGE(""https://docs.google.com/spreadsheets/d/10iNzN1LqaStEosZKEbqcoOm3IdodNsG31q_nR0Y6WGo/edit#gid=1522333227"",""Rekap KTR!$E$8"")"),2.0)</f>
        <v>2</v>
      </c>
      <c r="F17" s="21">
        <f>IFERROR(__xludf.DUMMYFUNCTION("IMPORTRANGE(""https://docs.google.com/spreadsheets/d/10iNzN1LqaStEosZKEbqcoOm3IdodNsG31q_nR0Y6WGo/edit#gid=1522333227"",""Rekap KTR!$E$9"")"),3.0)</f>
        <v>3</v>
      </c>
      <c r="G17" s="21">
        <f>IFERROR(__xludf.DUMMYFUNCTION("IMPORTRANGE(""https://docs.google.com/spreadsheets/d/10iNzN1LqaStEosZKEbqcoOm3IdodNsG31q_nR0Y6WGo/edit#gid=1522333227"",""Rekap KTR!$E$10"")"),0.0)</f>
        <v>0</v>
      </c>
      <c r="H17" s="21">
        <f>IFERROR(__xludf.DUMMYFUNCTION("IMPORTRANGE(""https://docs.google.com/spreadsheets/d/10iNzN1LqaStEosZKEbqcoOm3IdodNsG31q_nR0Y6WGo/edit#gid=1522333227"",""Rekap KTR!$E$11"")"),2.0)</f>
        <v>2</v>
      </c>
      <c r="I17" s="21">
        <f>IFERROR(__xludf.DUMMYFUNCTION("IMPORTRANGE(""https://docs.google.com/spreadsheets/d/10iNzN1LqaStEosZKEbqcoOm3IdodNsG31q_nR0Y6WGo/edit#gid=1522333227"",""Rekap KTR!$E$12"")"),1.0)</f>
        <v>1</v>
      </c>
    </row>
    <row r="18">
      <c r="B18" s="20" t="str">
        <f>'SPM-Uspro'!$C$22</f>
        <v>#REF!</v>
      </c>
      <c r="C18" s="21">
        <f>IFERROR(__xludf.DUMMYFUNCTION("IMPORTRANGE(""https://docs.google.com/spreadsheets/d/17PsIU8VcCQeO2M4DM42K9vv32GkafaaF1LxQevQ8tAQ/edit#gid=1892753874"",""Rekap KTR!$E$6"")"),2.0)</f>
        <v>2</v>
      </c>
      <c r="D18" s="21">
        <f>IFERROR(__xludf.DUMMYFUNCTION("IMPORTRANGE(""https://docs.google.com/spreadsheets/d/17PsIU8VcCQeO2M4DM42K9vv32GkafaaF1LxQevQ8tAQ/edit#gid=1892753874"",""Rekap KTR!$E$7"")"),21.0)</f>
        <v>21</v>
      </c>
      <c r="E18" s="21">
        <f>IFERROR(__xludf.DUMMYFUNCTION("IMPORTRANGE(""https://docs.google.com/spreadsheets/d/17PsIU8VcCQeO2M4DM42K9vv32GkafaaF1LxQevQ8tAQ/edit#gid=1892753874"",""Rekap KTR!$E$8"")"),17.0)</f>
        <v>17</v>
      </c>
      <c r="F18" s="21">
        <f>IFERROR(__xludf.DUMMYFUNCTION("IMPORTRANGE(""https://docs.google.com/spreadsheets/d/17PsIU8VcCQeO2M4DM42K9vv32GkafaaF1LxQevQ8tAQ/edit#gid=1892753874"",""Rekap KTR!$E$9"")"),0.0)</f>
        <v>0</v>
      </c>
      <c r="G18" s="21">
        <f>IFERROR(__xludf.DUMMYFUNCTION("IMPORTRANGE(""https://docs.google.com/spreadsheets/d/17PsIU8VcCQeO2M4DM42K9vv32GkafaaF1LxQevQ8tAQ/edit#gid=1892753874"",""Rekap KTR!$E$10"")"),0.0)</f>
        <v>0</v>
      </c>
      <c r="H18" s="21">
        <f>IFERROR(__xludf.DUMMYFUNCTION("IMPORTRANGE(""https://docs.google.com/spreadsheets/d/17PsIU8VcCQeO2M4DM42K9vv32GkafaaF1LxQevQ8tAQ/edit#gid=1892753874"",""Rekap KTR!$E$11"")"),0.0)</f>
        <v>0</v>
      </c>
      <c r="I18" s="21">
        <f>IFERROR(__xludf.DUMMYFUNCTION("IMPORTRANGE(""https://docs.google.com/spreadsheets/d/17PsIU8VcCQeO2M4DM42K9vv32GkafaaF1LxQevQ8tAQ/edit#gid=1892753874"",""Rekap KTR!$E$12"")"),0.0)</f>
        <v>0</v>
      </c>
    </row>
    <row r="19">
      <c r="B19" s="20" t="str">
        <f>'SPM-Uspro'!$C$23</f>
        <v>#REF!</v>
      </c>
      <c r="C19" s="21">
        <f>IFERROR(__xludf.DUMMYFUNCTION("IMPORTRANGE(""https://docs.google.com/spreadsheets/d/1d0Y9C6M4-a1TT0nIK2Gc4IXnbVyxoBB3v7o1biNGAwY/edit#gid=1892753874"",""Rekap KTR!$E$6"")"),6.0)</f>
        <v>6</v>
      </c>
      <c r="D19" s="21">
        <f>IFERROR(__xludf.DUMMYFUNCTION("IMPORTRANGE(""https://docs.google.com/spreadsheets/d/1d0Y9C6M4-a1TT0nIK2Gc4IXnbVyxoBB3v7o1biNGAwY/edit#gid=1892753874"",""Rekap KTR!$E$7"")"),27.0)</f>
        <v>27</v>
      </c>
      <c r="E19" s="21">
        <f>IFERROR(__xludf.DUMMYFUNCTION("IMPORTRANGE(""https://docs.google.com/spreadsheets/d/1d0Y9C6M4-a1TT0nIK2Gc4IXnbVyxoBB3v7o1biNGAwY/edit#gid=1892753874"",""Rekap KTR!$E$8"")"),7.0)</f>
        <v>7</v>
      </c>
      <c r="F19" s="21">
        <f>IFERROR(__xludf.DUMMYFUNCTION("IMPORTRANGE(""https://docs.google.com/spreadsheets/d/1d0Y9C6M4-a1TT0nIK2Gc4IXnbVyxoBB3v7o1biNGAwY/edit#gid=1892753874"",""Rekap KTR!$E$9"")"),0.0)</f>
        <v>0</v>
      </c>
      <c r="G19" s="21">
        <f>IFERROR(__xludf.DUMMYFUNCTION("IMPORTRANGE(""https://docs.google.com/spreadsheets/d/1d0Y9C6M4-a1TT0nIK2Gc4IXnbVyxoBB3v7o1biNGAwY/edit#gid=1892753874"",""Rekap KTR!$E$10"")"),0.0)</f>
        <v>0</v>
      </c>
      <c r="H19" s="21">
        <f>IFERROR(__xludf.DUMMYFUNCTION("IMPORTRANGE(""https://docs.google.com/spreadsheets/d/1d0Y9C6M4-a1TT0nIK2Gc4IXnbVyxoBB3v7o1biNGAwY/edit#gid=1892753874"",""Rekap KTR!$E$11"")"),0.0)</f>
        <v>0</v>
      </c>
      <c r="I19" s="21">
        <f>IFERROR(__xludf.DUMMYFUNCTION("IMPORTRANGE(""https://docs.google.com/spreadsheets/d/1d0Y9C6M4-a1TT0nIK2Gc4IXnbVyxoBB3v7o1biNGAwY/edit#gid=1892753874"",""Rekap KTR!$E$12"")"),0.0)</f>
        <v>0</v>
      </c>
    </row>
    <row r="20">
      <c r="B20" s="20" t="str">
        <f>'SPM-Uspro'!$C$24</f>
        <v>#REF!</v>
      </c>
      <c r="C20" s="21">
        <f>IFERROR(__xludf.DUMMYFUNCTION("IMPORTRANGE(""https://docs.google.com/spreadsheets/d/1fXA1yQzUNddp7fjR2KF22o4rRJu9lP9Ja9Oi1mRbg_E/edit#gid=1892753874"",""Rekap KTR!$E$6"")"),2.0)</f>
        <v>2</v>
      </c>
      <c r="D20" s="21">
        <f>IFERROR(__xludf.DUMMYFUNCTION("IMPORTRANGE(""https://docs.google.com/spreadsheets/d/1fXA1yQzUNddp7fjR2KF22o4rRJu9lP9Ja9Oi1mRbg_E/edit#gid=1892753874"",""Rekap KTR!$E$7"")"),31.0)</f>
        <v>31</v>
      </c>
      <c r="E20" s="21">
        <f>IFERROR(__xludf.DUMMYFUNCTION("IMPORTRANGE(""https://docs.google.com/spreadsheets/d/1fXA1yQzUNddp7fjR2KF22o4rRJu9lP9Ja9Oi1mRbg_E/edit#gid=1892753874"",""Rekap KTR!$E$8"")"),29.0)</f>
        <v>29</v>
      </c>
      <c r="F20" s="21">
        <f>IFERROR(__xludf.DUMMYFUNCTION("IMPORTRANGE(""https://docs.google.com/spreadsheets/d/1fXA1yQzUNddp7fjR2KF22o4rRJu9lP9Ja9Oi1mRbg_E/edit#gid=1892753874"",""Rekap KTR!$E$9"")"),19.0)</f>
        <v>19</v>
      </c>
      <c r="G20" s="21">
        <f>IFERROR(__xludf.DUMMYFUNCTION("IMPORTRANGE(""https://docs.google.com/spreadsheets/d/1fXA1yQzUNddp7fjR2KF22o4rRJu9lP9Ja9Oi1mRbg_E/edit#gid=1892753874"",""Rekap KTR!$E$10"")"),1.0)</f>
        <v>1</v>
      </c>
      <c r="H20" s="21">
        <f>IFERROR(__xludf.DUMMYFUNCTION("IMPORTRANGE(""https://docs.google.com/spreadsheets/d/1fXA1yQzUNddp7fjR2KF22o4rRJu9lP9Ja9Oi1mRbg_E/edit#gid=1892753874"",""Rekap KTR!$E$11"")"),1.0)</f>
        <v>1</v>
      </c>
      <c r="I20" s="21">
        <f>IFERROR(__xludf.DUMMYFUNCTION("IMPORTRANGE(""https://docs.google.com/spreadsheets/d/1fXA1yQzUNddp7fjR2KF22o4rRJu9lP9Ja9Oi1mRbg_E/edit#gid=1892753874"",""Rekap KTR!$E$12"")"),1.0)</f>
        <v>1</v>
      </c>
    </row>
    <row r="21" ht="15.75" customHeight="1">
      <c r="B21" s="20" t="str">
        <f>'SPM-Uspro'!$C$25</f>
        <v>#REF!</v>
      </c>
      <c r="C21" s="21">
        <f>IFERROR(__xludf.DUMMYFUNCTION("IMPORTRANGE(""https://docs.google.com/spreadsheets/d/155aL1qCqCleHwMP0Y8LT5akEbK27R0RIka-lAkeoeEo/edit#gid=1892753874"",""Rekap KTR!$E$6"")"),10.0)</f>
        <v>10</v>
      </c>
      <c r="D21" s="21">
        <f>IFERROR(__xludf.DUMMYFUNCTION("IMPORTRANGE(""https://docs.google.com/spreadsheets/d/155aL1qCqCleHwMP0Y8LT5akEbK27R0RIka-lAkeoeEo/edit#gid=1892753874"",""Rekap KTR!$E$7"")"),47.0)</f>
        <v>47</v>
      </c>
      <c r="E21" s="21">
        <f>IFERROR(__xludf.DUMMYFUNCTION("IMPORTRANGE(""https://docs.google.com/spreadsheets/d/155aL1qCqCleHwMP0Y8LT5akEbK27R0RIka-lAkeoeEo/edit#gid=1892753874"",""Rekap KTR!$E$8"")"),5.0)</f>
        <v>5</v>
      </c>
      <c r="F21" s="21" t="str">
        <f>IFERROR(__xludf.DUMMYFUNCTION("IMPORTRANGE(""https://docs.google.com/spreadsheets/d/155aL1qCqCleHwMP0Y8LT5akEbK27R0RIka-lAkeoeEo/edit#gid=1892753874"",""Rekap KTR!$E$9"")"),"")</f>
        <v/>
      </c>
      <c r="G21" s="21" t="str">
        <f>IFERROR(__xludf.DUMMYFUNCTION("IMPORTRANGE(""https://docs.google.com/spreadsheets/d/155aL1qCqCleHwMP0Y8LT5akEbK27R0RIka-lAkeoeEo/edit#gid=1892753874"",""Rekap KTR!$E$10"")"),"")</f>
        <v/>
      </c>
      <c r="H21" s="21" t="str">
        <f>IFERROR(__xludf.DUMMYFUNCTION("IMPORTRANGE(""https://docs.google.com/spreadsheets/d/155aL1qCqCleHwMP0Y8LT5akEbK27R0RIka-lAkeoeEo/edit#gid=1892753874"",""Rekap KTR!$E$11"")"),"")</f>
        <v/>
      </c>
      <c r="I21" s="21" t="str">
        <f>IFERROR(__xludf.DUMMYFUNCTION("IMPORTRANGE(""https://docs.google.com/spreadsheets/d/155aL1qCqCleHwMP0Y8LT5akEbK27R0RIka-lAkeoeEo/edit#gid=1892753874"",""Rekap KTR!$E$12"")"),"")</f>
        <v/>
      </c>
    </row>
    <row r="22" ht="15.75" customHeight="1">
      <c r="B22" s="20" t="str">
        <f>'SPM-Uspro'!$C$26</f>
        <v>#REF!</v>
      </c>
      <c r="C22" s="21">
        <f>IFERROR(__xludf.DUMMYFUNCTION("IMPORTRANGE(""https://docs.google.com/spreadsheets/d/13FRR1udp0c0o6Nmp_8YHiON78PXr-L4FqQQ028JcBYY/edit#gid=1522333227"",""Rekap KTR!$E$6"")"),7.0)</f>
        <v>7</v>
      </c>
      <c r="D22" s="21">
        <f>IFERROR(__xludf.DUMMYFUNCTION("IMPORTRANGE(""https://docs.google.com/spreadsheets/d/13FRR1udp0c0o6Nmp_8YHiON78PXr-L4FqQQ028JcBYY/edit#gid=1522333227"",""Rekap KTR!$E$7"")"),31.0)</f>
        <v>31</v>
      </c>
      <c r="E22" s="21">
        <f>IFERROR(__xludf.DUMMYFUNCTION("IMPORTRANGE(""https://docs.google.com/spreadsheets/d/13FRR1udp0c0o6Nmp_8YHiON78PXr-L4FqQQ028JcBYY/edit#gid=1522333227"",""Rekap KTR!$E$8"")"),2.0)</f>
        <v>2</v>
      </c>
      <c r="F22" s="21" t="str">
        <f>IFERROR(__xludf.DUMMYFUNCTION("IMPORTRANGE(""https://docs.google.com/spreadsheets/d/13FRR1udp0c0o6Nmp_8YHiON78PXr-L4FqQQ028JcBYY/edit#gid=1522333227"",""Rekap KTR!$E$9"")"),"")</f>
        <v/>
      </c>
      <c r="G22" s="21" t="str">
        <f>IFERROR(__xludf.DUMMYFUNCTION("IMPORTRANGE(""https://docs.google.com/spreadsheets/d/13FRR1udp0c0o6Nmp_8YHiON78PXr-L4FqQQ028JcBYY/edit#gid=1522333227"",""Rekap KTR!$E$10"")"),"")</f>
        <v/>
      </c>
      <c r="H22" s="21" t="str">
        <f>IFERROR(__xludf.DUMMYFUNCTION("IMPORTRANGE(""https://docs.google.com/spreadsheets/d/13FRR1udp0c0o6Nmp_8YHiON78PXr-L4FqQQ028JcBYY/edit#gid=1522333227"",""Rekap KTR!$E$11"")"),"")</f>
        <v/>
      </c>
      <c r="I22" s="21" t="str">
        <f>IFERROR(__xludf.DUMMYFUNCTION("IMPORTRANGE(""https://docs.google.com/spreadsheets/d/13FRR1udp0c0o6Nmp_8YHiON78PXr-L4FqQQ028JcBYY/edit#gid=1522333227"",""Rekap KTR!$E$12"")"),"")</f>
        <v/>
      </c>
    </row>
    <row r="23" ht="15.75" customHeight="1">
      <c r="B23" s="20" t="str">
        <f>'SPM-Uspro'!$C$27</f>
        <v>#REF!</v>
      </c>
      <c r="C23" s="21">
        <f>IFERROR(__xludf.DUMMYFUNCTION("IMPORTRANGE(""https://docs.google.com/spreadsheets/d/1PVwe4VvYfj1Vj424c9kO9TcQogsBM6TpXMbFve9togc/edit#gid=1522333227"",""Rekap KTR!$E$6"")"),5.0)</f>
        <v>5</v>
      </c>
      <c r="D23" s="21">
        <f>IFERROR(__xludf.DUMMYFUNCTION("IMPORTRANGE(""https://docs.google.com/spreadsheets/d/1PVwe4VvYfj1Vj424c9kO9TcQogsBM6TpXMbFve9togc/edit#gid=1522333227"",""Rekap KTR!$E$7"")"),38.0)</f>
        <v>38</v>
      </c>
      <c r="E23" s="21">
        <f>IFERROR(__xludf.DUMMYFUNCTION("IMPORTRANGE(""https://docs.google.com/spreadsheets/d/1PVwe4VvYfj1Vj424c9kO9TcQogsBM6TpXMbFve9togc/edit#gid=1522333227"",""Rekap KTR!$E$8"")"),17.0)</f>
        <v>17</v>
      </c>
      <c r="F23" s="21">
        <f>IFERROR(__xludf.DUMMYFUNCTION("IMPORTRANGE(""https://docs.google.com/spreadsheets/d/1PVwe4VvYfj1Vj424c9kO9TcQogsBM6TpXMbFve9togc/edit#gid=1522333227"",""Rekap KTR!$E$9"")"),0.0)</f>
        <v>0</v>
      </c>
      <c r="G23" s="21">
        <f>IFERROR(__xludf.DUMMYFUNCTION("IMPORTRANGE(""https://docs.google.com/spreadsheets/d/1PVwe4VvYfj1Vj424c9kO9TcQogsBM6TpXMbFve9togc/edit#gid=1522333227"",""Rekap KTR!$E$10"")"),0.0)</f>
        <v>0</v>
      </c>
      <c r="H23" s="21">
        <f>IFERROR(__xludf.DUMMYFUNCTION("IMPORTRANGE(""https://docs.google.com/spreadsheets/d/1PVwe4VvYfj1Vj424c9kO9TcQogsBM6TpXMbFve9togc/edit#gid=1522333227"",""Rekap KTR!$E$11"")"),0.0)</f>
        <v>0</v>
      </c>
      <c r="I23" s="21">
        <f>IFERROR(__xludf.DUMMYFUNCTION("IMPORTRANGE(""https://docs.google.com/spreadsheets/d/1PVwe4VvYfj1Vj424c9kO9TcQogsBM6TpXMbFve9togc/edit#gid=1522333227"",""Rekap KTR!$E$12"")"),0.0)</f>
        <v>0</v>
      </c>
    </row>
    <row r="24" ht="15.75" customHeight="1">
      <c r="B24" s="20" t="str">
        <f>'SPM-Uspro'!$C$28</f>
        <v>#REF!</v>
      </c>
      <c r="C24" s="21" t="str">
        <f>IFERROR(__xludf.DUMMYFUNCTION("IMPORTRANGE(""https://docs.google.com/spreadsheets/d/15JUTNcWxWGx3Ha8qvwbxgnbDbT4v7N3vZYvqPZ68_Xg/edit#gid=1892753874"",""Rekap KTR!$E$6"")"),"")</f>
        <v/>
      </c>
      <c r="D24" s="21">
        <f>IFERROR(__xludf.DUMMYFUNCTION("IMPORTRANGE(""https://docs.google.com/spreadsheets/d/15JUTNcWxWGx3Ha8qvwbxgnbDbT4v7N3vZYvqPZ68_Xg/edit#gid=1892753874"",""Rekap KTR!$E$7"")"),19.0)</f>
        <v>19</v>
      </c>
      <c r="E24" s="21" t="str">
        <f>IFERROR(__xludf.DUMMYFUNCTION("IMPORTRANGE(""https://docs.google.com/spreadsheets/d/15JUTNcWxWGx3Ha8qvwbxgnbDbT4v7N3vZYvqPZ68_Xg/edit#gid=1892753874"",""Rekap KTR!$E$8"")"),"")</f>
        <v/>
      </c>
      <c r="F24" s="21" t="str">
        <f>IFERROR(__xludf.DUMMYFUNCTION("IMPORTRANGE(""https://docs.google.com/spreadsheets/d/15JUTNcWxWGx3Ha8qvwbxgnbDbT4v7N3vZYvqPZ68_Xg/edit#gid=1892753874"",""Rekap KTR!$E$9"")"),"")</f>
        <v/>
      </c>
      <c r="G24" s="21" t="str">
        <f>IFERROR(__xludf.DUMMYFUNCTION("IMPORTRANGE(""https://docs.google.com/spreadsheets/d/15JUTNcWxWGx3Ha8qvwbxgnbDbT4v7N3vZYvqPZ68_Xg/edit#gid=1892753874"",""Rekap KTR!$E$10"")"),"")</f>
        <v/>
      </c>
      <c r="H24" s="21" t="str">
        <f>IFERROR(__xludf.DUMMYFUNCTION("IMPORTRANGE(""https://docs.google.com/spreadsheets/d/15JUTNcWxWGx3Ha8qvwbxgnbDbT4v7N3vZYvqPZ68_Xg/edit#gid=1892753874"",""Rekap KTR!$E$11"")"),"")</f>
        <v/>
      </c>
      <c r="I24" s="21" t="str">
        <f>IFERROR(__xludf.DUMMYFUNCTION("IMPORTRANGE(""https://docs.google.com/spreadsheets/d/15JUTNcWxWGx3Ha8qvwbxgnbDbT4v7N3vZYvqPZ68_Xg/edit#gid=1892753874"",""Rekap KTR!$E$12"")"),"")</f>
        <v/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3"/>
    <mergeCell ref="A4:B4"/>
    <mergeCell ref="B6:B8"/>
    <mergeCell ref="C6:I6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16.67"/>
    <col customWidth="1" min="3" max="3" width="11.78"/>
    <col customWidth="1" min="6" max="6" width="12.33"/>
    <col customWidth="1" min="8" max="8" width="13.89"/>
    <col customWidth="1" min="9" max="9" width="13.56"/>
  </cols>
  <sheetData>
    <row r="1">
      <c r="A1" s="1" t="s">
        <v>0</v>
      </c>
      <c r="B1" s="2"/>
      <c r="C1" s="2"/>
      <c r="D1" s="22" t="s">
        <v>13</v>
      </c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</row>
    <row r="2">
      <c r="A2" s="5"/>
      <c r="D2" s="5"/>
      <c r="K2" s="3"/>
      <c r="L2" s="4"/>
      <c r="M2" s="4"/>
      <c r="N2" s="4"/>
      <c r="O2" s="4"/>
      <c r="P2" s="4"/>
    </row>
    <row r="3">
      <c r="A3" s="5"/>
      <c r="D3" s="5"/>
      <c r="K3" s="3"/>
      <c r="L3" s="4"/>
      <c r="M3" s="4"/>
      <c r="N3" s="4"/>
      <c r="O3" s="4"/>
      <c r="P3" s="4"/>
    </row>
    <row r="4" ht="24.75" customHeight="1">
      <c r="A4" s="7" t="s">
        <v>3</v>
      </c>
      <c r="B4" s="8"/>
      <c r="C4" s="8"/>
      <c r="D4" s="5"/>
      <c r="K4" s="3"/>
      <c r="L4" s="4"/>
      <c r="M4" s="4"/>
      <c r="N4" s="4"/>
      <c r="O4" s="4"/>
      <c r="P4" s="4"/>
    </row>
    <row r="6" ht="22.5" customHeight="1">
      <c r="A6" s="23" t="s">
        <v>14</v>
      </c>
      <c r="B6" s="12"/>
      <c r="C6" s="12"/>
      <c r="D6" s="12"/>
      <c r="E6" s="12"/>
      <c r="F6" s="12"/>
      <c r="G6" s="12"/>
      <c r="H6" s="12"/>
      <c r="I6" s="12"/>
      <c r="J6" s="13"/>
      <c r="K6" s="24"/>
      <c r="L6" s="24"/>
      <c r="M6" s="24"/>
      <c r="N6" s="24"/>
      <c r="O6" s="24"/>
      <c r="P6" s="24"/>
    </row>
    <row r="7">
      <c r="A7" s="25" t="s">
        <v>4</v>
      </c>
      <c r="B7" s="25" t="s">
        <v>15</v>
      </c>
      <c r="C7" s="25" t="s">
        <v>16</v>
      </c>
      <c r="D7" s="25" t="s">
        <v>17</v>
      </c>
      <c r="E7" s="26" t="s">
        <v>18</v>
      </c>
      <c r="F7" s="26" t="s">
        <v>19</v>
      </c>
      <c r="G7" s="26" t="s">
        <v>20</v>
      </c>
      <c r="H7" s="27" t="s">
        <v>21</v>
      </c>
      <c r="I7" s="27" t="s">
        <v>22</v>
      </c>
      <c r="J7" s="27" t="s">
        <v>23</v>
      </c>
    </row>
    <row r="8" ht="15.0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>
      <c r="A9" s="17"/>
      <c r="B9" s="17"/>
      <c r="C9" s="17"/>
      <c r="D9" s="17"/>
      <c r="E9" s="17"/>
      <c r="F9" s="17"/>
      <c r="G9" s="17"/>
      <c r="H9" s="17"/>
      <c r="I9" s="17"/>
      <c r="J9" s="17"/>
    </row>
    <row r="10">
      <c r="A10" s="20" t="str">
        <f>'SPM-Uspro'!$C$13</f>
        <v>#REF!</v>
      </c>
      <c r="B10" s="21">
        <f>IFERROR(__xludf.DUMMYFUNCTION("IMPORTRANGE(""https://docs.google.com/spreadsheets/d/1P0UTisakTE5EAx-MYEjY2DmhSnLNqqRm6P3NrlYXL2I/edit#gid=1892753874"",""Rekap UBM!$B$9"")"),1.0)</f>
        <v>1</v>
      </c>
      <c r="C10" s="21">
        <f>IFERROR(__xludf.DUMMYFUNCTION("IMPORTRANGE(""https://docs.google.com/spreadsheets/d/1P0UTisakTE5EAx-MYEjY2DmhSnLNqqRm6P3NrlYXL2I/edit#gid=1892753874"",""Rekap UBM!$C$9"")"),1.0)</f>
        <v>1</v>
      </c>
      <c r="D10" s="28">
        <f t="shared" ref="D10:D25" si="1">C10/B10*100</f>
        <v>100</v>
      </c>
      <c r="E10" s="21" t="str">
        <f>IFERROR(__xludf.DUMMYFUNCTION("IMPORTRANGE(""https://docs.google.com/spreadsheets/d/1P0UTisakTE5EAx-MYEjY2DmhSnLNqqRm6P3NrlYXL2I/edit#gid=1892753874"",""Rekap UBM!$E$9"")"),"")</f>
        <v/>
      </c>
      <c r="F10" s="21" t="str">
        <f>IFERROR(__xludf.DUMMYFUNCTION("IMPORTRANGE(""https://docs.google.com/spreadsheets/d/1P0UTisakTE5EAx-MYEjY2DmhSnLNqqRm6P3NrlYXL2I/edit#gid=1892753874"",""Rekap UBM!$F$9"")"),"")</f>
        <v/>
      </c>
      <c r="G10" s="28" t="str">
        <f t="shared" ref="G10:G25" si="2">F10/E10*100</f>
        <v>#DIV/0!</v>
      </c>
      <c r="H10" s="21" t="str">
        <f>IFERROR(__xludf.DUMMYFUNCTION("IMPORTRANGE(""https://docs.google.com/spreadsheets/d/1P0UTisakTE5EAx-MYEjY2DmhSnLNqqRm6P3NrlYXL2I/edit#gid=1892753874"",""Rekap UBM!$H$9"")"),"")</f>
        <v/>
      </c>
      <c r="I10" s="21" t="str">
        <f>IFERROR(__xludf.DUMMYFUNCTION("IMPORTRANGE(""https://docs.google.com/spreadsheets/d/1P0UTisakTE5EAx-MYEjY2DmhSnLNqqRm6P3NrlYXL2I/edit#gid=1892753874"",""Rekap UBM!$I$9"")"),"")</f>
        <v/>
      </c>
      <c r="J10" s="28" t="str">
        <f t="shared" ref="J10:J25" si="3">I10/H10*100</f>
        <v>#DIV/0!</v>
      </c>
    </row>
    <row r="11">
      <c r="A11" s="20" t="str">
        <f>'SPM-Uspro'!$C$14</f>
        <v>#REF!</v>
      </c>
      <c r="B11" s="21">
        <f>IFERROR(__xludf.DUMMYFUNCTION("IMPORTRANGE(""https://docs.google.com/spreadsheets/d/1jB-UnyPBzGq1HOZkIVtft_Wo28OEKcZNsVgS5r_boTE/edit#gid=1522333227"",""Rekap UBM!$B$9"")"),1.0)</f>
        <v>1</v>
      </c>
      <c r="C11" s="21">
        <f>IFERROR(__xludf.DUMMYFUNCTION("IMPORTRANGE(""https://docs.google.com/spreadsheets/d/1jB-UnyPBzGq1HOZkIVtft_Wo28OEKcZNsVgS5r_boTE/edit#gid=1522333227"",""Rekap UBM!$C$9"")"),1.0)</f>
        <v>1</v>
      </c>
      <c r="D11" s="28">
        <f t="shared" si="1"/>
        <v>100</v>
      </c>
      <c r="E11" s="21">
        <f>IFERROR(__xludf.DUMMYFUNCTION("IMPORTRANGE(""https://docs.google.com/spreadsheets/d/1jB-UnyPBzGq1HOZkIVtft_Wo28OEKcZNsVgS5r_boTE/edit#gid=1522333227"",""Rekap UBM!$E$9"")"),12.0)</f>
        <v>12</v>
      </c>
      <c r="F11" s="29">
        <f>IFERROR(__xludf.DUMMYFUNCTION("IMPORTRANGE(""https://docs.google.com/spreadsheets/d/1jB-UnyPBzGq1HOZkIVtft_Wo28OEKcZNsVgS5r_boTE/edit#gid=1522333227"",""Rekap UBM!$F$9"")"),12.0)</f>
        <v>12</v>
      </c>
      <c r="G11" s="28">
        <f t="shared" si="2"/>
        <v>100</v>
      </c>
      <c r="H11" s="29" t="str">
        <f>IFERROR(__xludf.DUMMYFUNCTION("IMPORTRANGE(""https://docs.google.com/spreadsheets/d/1jB-UnyPBzGq1HOZkIVtft_Wo28OEKcZNsVgS5r_boTE/edit#gid=1522333227"",""Rekap UBM!$H$9"")"),"")</f>
        <v/>
      </c>
      <c r="I11" s="29" t="str">
        <f>IFERROR(__xludf.DUMMYFUNCTION("IMPORTRANGE(""https://docs.google.com/spreadsheets/d/1jB-UnyPBzGq1HOZkIVtft_Wo28OEKcZNsVgS5r_boTE/edit#gid=1522333227"",""Rekap UBM!$I$9"")"),"")</f>
        <v/>
      </c>
      <c r="J11" s="28" t="str">
        <f t="shared" si="3"/>
        <v>#DIV/0!</v>
      </c>
    </row>
    <row r="12">
      <c r="A12" s="20" t="str">
        <f>'SPM-Uspro'!$C$15</f>
        <v>#REF!</v>
      </c>
      <c r="B12" s="21">
        <f>IFERROR(__xludf.DUMMYFUNCTION("IMPORTRANGE(""https://docs.google.com/spreadsheets/d/1gHFrRpJ5fnyxfJI-jxT5z1B1L7rSV8E5sIZEN90Rfhc/edit#gid=1522333227"",""Rekap UBM!$B$9"")"),1.0)</f>
        <v>1</v>
      </c>
      <c r="C12" s="21">
        <f>IFERROR(__xludf.DUMMYFUNCTION("IMPORTRANGE(""https://docs.google.com/spreadsheets/d/1gHFrRpJ5fnyxfJI-jxT5z1B1L7rSV8E5sIZEN90Rfhc/edit#gid=1522333227"",""Rekap UBM!$C$9"")"),1.0)</f>
        <v>1</v>
      </c>
      <c r="D12" s="28">
        <f t="shared" si="1"/>
        <v>100</v>
      </c>
      <c r="E12" s="21">
        <f>IFERROR(__xludf.DUMMYFUNCTION("IMPORTRANGE(""https://docs.google.com/spreadsheets/d/1gHFrRpJ5fnyxfJI-jxT5z1B1L7rSV8E5sIZEN90Rfhc/edit#gid=1522333227"",""Rekap UBM!$E$9"")"),3.0)</f>
        <v>3</v>
      </c>
      <c r="F12" s="29">
        <f>IFERROR(__xludf.DUMMYFUNCTION("IMPORTRANGE(""https://docs.google.com/spreadsheets/d/1gHFrRpJ5fnyxfJI-jxT5z1B1L7rSV8E5sIZEN90Rfhc/edit#gid=1522333227"",""Rekap UBM!$F$9"")"),3.0)</f>
        <v>3</v>
      </c>
      <c r="G12" s="28">
        <f t="shared" si="2"/>
        <v>100</v>
      </c>
      <c r="H12" s="29">
        <f>IFERROR(__xludf.DUMMYFUNCTION("IMPORTRANGE(""https://docs.google.com/spreadsheets/d/1gHFrRpJ5fnyxfJI-jxT5z1B1L7rSV8E5sIZEN90Rfhc/edit#gid=1522333227"",""Rekap UBM!$H$9"")"),6.0)</f>
        <v>6</v>
      </c>
      <c r="I12" s="29">
        <f>IFERROR(__xludf.DUMMYFUNCTION("IMPORTRANGE(""https://docs.google.com/spreadsheets/d/1gHFrRpJ5fnyxfJI-jxT5z1B1L7rSV8E5sIZEN90Rfhc/edit#gid=1522333227"",""Rekap UBM!$I$9"")"),6.0)</f>
        <v>6</v>
      </c>
      <c r="J12" s="28">
        <f t="shared" si="3"/>
        <v>100</v>
      </c>
    </row>
    <row r="13">
      <c r="A13" s="20" t="str">
        <f>'SPM-Uspro'!$C$16</f>
        <v>#REF!</v>
      </c>
      <c r="B13" s="21">
        <f>IFERROR(__xludf.DUMMYFUNCTION("IMPORTRANGE(""https://docs.google.com/spreadsheets/d/1saC2UP2JuYJ7WRPxjh8EMf_BSfGZ18Ous8sVKGLr-Ng/edit#gid=1892753874"",""Rekap UBM!$B$9"")"),1.0)</f>
        <v>1</v>
      </c>
      <c r="C13" s="21">
        <f>IFERROR(__xludf.DUMMYFUNCTION("IMPORTRANGE(""https://docs.google.com/spreadsheets/d/1saC2UP2JuYJ7WRPxjh8EMf_BSfGZ18Ous8sVKGLr-Ng/edit#gid=1892753874"",""Rekap UBM!$C$9"")"),1.0)</f>
        <v>1</v>
      </c>
      <c r="D13" s="28">
        <f t="shared" si="1"/>
        <v>100</v>
      </c>
      <c r="E13" s="21">
        <f>IFERROR(__xludf.DUMMYFUNCTION("IMPORTRANGE(""https://docs.google.com/spreadsheets/d/1saC2UP2JuYJ7WRPxjh8EMf_BSfGZ18Ous8sVKGLr-Ng/edit#gid=1892753874"",""Rekap UBM!$E$9"")"),3.0)</f>
        <v>3</v>
      </c>
      <c r="F13" s="29">
        <f>IFERROR(__xludf.DUMMYFUNCTION("IMPORTRANGE(""https://docs.google.com/spreadsheets/d/1saC2UP2JuYJ7WRPxjh8EMf_BSfGZ18Ous8sVKGLr-Ng/edit#gid=1892753874"",""Rekap UBM!$F$9"")"),0.0)</f>
        <v>0</v>
      </c>
      <c r="G13" s="28">
        <f t="shared" si="2"/>
        <v>0</v>
      </c>
      <c r="H13" s="29">
        <f>IFERROR(__xludf.DUMMYFUNCTION("IMPORTRANGE(""https://docs.google.com/spreadsheets/d/1saC2UP2JuYJ7WRPxjh8EMf_BSfGZ18Ous8sVKGLr-Ng/edit#gid=1892753874"",""Rekap UBM!$H$9"")"),5.0)</f>
        <v>5</v>
      </c>
      <c r="I13" s="29">
        <f>IFERROR(__xludf.DUMMYFUNCTION("IMPORTRANGE(""https://docs.google.com/spreadsheets/d/1saC2UP2JuYJ7WRPxjh8EMf_BSfGZ18Ous8sVKGLr-Ng/edit#gid=1892753874"",""Rekap UBM!$I$9"")"),0.0)</f>
        <v>0</v>
      </c>
      <c r="J13" s="28">
        <f t="shared" si="3"/>
        <v>0</v>
      </c>
    </row>
    <row r="14">
      <c r="A14" s="20" t="str">
        <f>'SPM-Uspro'!$C$17</f>
        <v>#REF!</v>
      </c>
      <c r="B14" s="21">
        <f>IFERROR(__xludf.DUMMYFUNCTION("IMPORTRANGE(""https://docs.google.com/spreadsheets/d/1ApPPV7RPuDI1EDOKjkoDXkV5Yd_NofeQTYTtAHUYGGw/edit#gid=1522333227"",""Rekap UBM!$B$9"")"),1.0)</f>
        <v>1</v>
      </c>
      <c r="C14" s="21">
        <f>IFERROR(__xludf.DUMMYFUNCTION("IMPORTRANGE(""https://docs.google.com/spreadsheets/d/1ApPPV7RPuDI1EDOKjkoDXkV5Yd_NofeQTYTtAHUYGGw/edit#gid=1522333227"",""Rekap UBM!$C$9"")"),1.0)</f>
        <v>1</v>
      </c>
      <c r="D14" s="28">
        <f t="shared" si="1"/>
        <v>100</v>
      </c>
      <c r="E14" s="21" t="str">
        <f>IFERROR(__xludf.DUMMYFUNCTION("IMPORTRANGE(""https://docs.google.com/spreadsheets/d/1ApPPV7RPuDI1EDOKjkoDXkV5Yd_NofeQTYTtAHUYGGw/edit#gid=1522333227"",""Rekap UBM!$E$9"")"),"")</f>
        <v/>
      </c>
      <c r="F14" s="29" t="str">
        <f>IFERROR(__xludf.DUMMYFUNCTION("IMPORTRANGE(""https://docs.google.com/spreadsheets/d/1ApPPV7RPuDI1EDOKjkoDXkV5Yd_NofeQTYTtAHUYGGw/edit#gid=1522333227"",""Rekap UBM!$F$9"")"),"")</f>
        <v/>
      </c>
      <c r="G14" s="28" t="str">
        <f t="shared" si="2"/>
        <v>#DIV/0!</v>
      </c>
      <c r="H14" s="29" t="str">
        <f>IFERROR(__xludf.DUMMYFUNCTION("IMPORTRANGE(""https://docs.google.com/spreadsheets/d/1ApPPV7RPuDI1EDOKjkoDXkV5Yd_NofeQTYTtAHUYGGw/edit#gid=1522333227"",""Rekap UBM!$H$9"")"),"")</f>
        <v/>
      </c>
      <c r="I14" s="29" t="str">
        <f>IFERROR(__xludf.DUMMYFUNCTION("IMPORTRANGE(""https://docs.google.com/spreadsheets/d/1ApPPV7RPuDI1EDOKjkoDXkV5Yd_NofeQTYTtAHUYGGw/edit#gid=1522333227"",""Rekap UBM!$I$9"")"),"")</f>
        <v/>
      </c>
      <c r="J14" s="28" t="str">
        <f t="shared" si="3"/>
        <v>#DIV/0!</v>
      </c>
    </row>
    <row r="15">
      <c r="A15" s="20" t="str">
        <f>'SPM-Uspro'!$C$18</f>
        <v>#REF!</v>
      </c>
      <c r="B15" s="21">
        <f>IFERROR(__xludf.DUMMYFUNCTION("IMPORTRANGE(""https://docs.google.com/spreadsheets/d/1iV_nqIfkAdyO_vl_QARxWbfnGcK2KlCCS94aVJ2QbTI/edit#gid=1522333227"",""Rekap UBM!$B$9"")"),1.0)</f>
        <v>1</v>
      </c>
      <c r="C15" s="21">
        <f>IFERROR(__xludf.DUMMYFUNCTION("IMPORTRANGE(""https://docs.google.com/spreadsheets/d/1iV_nqIfkAdyO_vl_QARxWbfnGcK2KlCCS94aVJ2QbTI/edit#gid=1522333227"",""Rekap UBM!$C$9"")"),1.0)</f>
        <v>1</v>
      </c>
      <c r="D15" s="28">
        <f t="shared" si="1"/>
        <v>100</v>
      </c>
      <c r="E15" s="21" t="str">
        <f>IFERROR(__xludf.DUMMYFUNCTION("IMPORTRANGE(""https://docs.google.com/spreadsheets/d/1iV_nqIfkAdyO_vl_QARxWbfnGcK2KlCCS94aVJ2QbTI/edit#gid=1522333227"",""Rekap UBM!$E$9"")"),"")</f>
        <v/>
      </c>
      <c r="F15" s="29" t="str">
        <f>IFERROR(__xludf.DUMMYFUNCTION("IMPORTRANGE(""https://docs.google.com/spreadsheets/d/1iV_nqIfkAdyO_vl_QARxWbfnGcK2KlCCS94aVJ2QbTI/edit#gid=1522333227"",""Rekap UBM!$F$9"")"),"")</f>
        <v/>
      </c>
      <c r="G15" s="28" t="str">
        <f t="shared" si="2"/>
        <v>#DIV/0!</v>
      </c>
      <c r="H15" s="29" t="str">
        <f>IFERROR(__xludf.DUMMYFUNCTION("IMPORTRANGE(""https://docs.google.com/spreadsheets/d/1iV_nqIfkAdyO_vl_QARxWbfnGcK2KlCCS94aVJ2QbTI/edit#gid=1522333227"",""Rekap UBM!$H$9"")"),"")</f>
        <v/>
      </c>
      <c r="I15" s="29" t="str">
        <f>IFERROR(__xludf.DUMMYFUNCTION("IMPORTRANGE(""https://docs.google.com/spreadsheets/d/1iV_nqIfkAdyO_vl_QARxWbfnGcK2KlCCS94aVJ2QbTI/edit#gid=1522333227"",""Rekap UBM!$I$9"")"),"")</f>
        <v/>
      </c>
      <c r="J15" s="28" t="str">
        <f t="shared" si="3"/>
        <v>#DIV/0!</v>
      </c>
    </row>
    <row r="16">
      <c r="A16" s="20" t="str">
        <f>'SPM-Uspro'!$C$19</f>
        <v>#REF!</v>
      </c>
      <c r="B16" s="21">
        <f>IFERROR(__xludf.DUMMYFUNCTION("IMPORTRANGE(""https://docs.google.com/spreadsheets/d/1zz70Lj6oBg1MOPSG6KJcsMeqBNtXMHYICRkg7kpt_d0/edit#gid=1892753874"",""Rekap UBM!$B$9"")"),1.0)</f>
        <v>1</v>
      </c>
      <c r="C16" s="21">
        <f>IFERROR(__xludf.DUMMYFUNCTION("IMPORTRANGE(""https://docs.google.com/spreadsheets/d/1zz70Lj6oBg1MOPSG6KJcsMeqBNtXMHYICRkg7kpt_d0/edit#gid=1892753874"",""Rekap UBM!$C$9"")"),1.0)</f>
        <v>1</v>
      </c>
      <c r="D16" s="28">
        <f t="shared" si="1"/>
        <v>100</v>
      </c>
      <c r="E16" s="21">
        <f>IFERROR(__xludf.DUMMYFUNCTION("IMPORTRANGE(""https://docs.google.com/spreadsheets/d/1zz70Lj6oBg1MOPSG6KJcsMeqBNtXMHYICRkg7kpt_d0/edit#gid=1892753874"",""Rekap UBM!$E$9"")"),3.0)</f>
        <v>3</v>
      </c>
      <c r="F16" s="29">
        <f>IFERROR(__xludf.DUMMYFUNCTION("IMPORTRANGE(""https://docs.google.com/spreadsheets/d/1zz70Lj6oBg1MOPSG6KJcsMeqBNtXMHYICRkg7kpt_d0/edit#gid=1892753874"",""Rekap UBM!$F$9"")"),3.0)</f>
        <v>3</v>
      </c>
      <c r="G16" s="28">
        <f t="shared" si="2"/>
        <v>100</v>
      </c>
      <c r="H16" s="29">
        <f>IFERROR(__xludf.DUMMYFUNCTION("IMPORTRANGE(""https://docs.google.com/spreadsheets/d/1zz70Lj6oBg1MOPSG6KJcsMeqBNtXMHYICRkg7kpt_d0/edit#gid=1892753874"",""Rekap UBM!$H$9"")"),3.0)</f>
        <v>3</v>
      </c>
      <c r="I16" s="29">
        <f>IFERROR(__xludf.DUMMYFUNCTION("IMPORTRANGE(""https://docs.google.com/spreadsheets/d/1zz70Lj6oBg1MOPSG6KJcsMeqBNtXMHYICRkg7kpt_d0/edit#gid=1892753874"",""Rekap UBM!$I$9"")"),3.0)</f>
        <v>3</v>
      </c>
      <c r="J16" s="28">
        <f t="shared" si="3"/>
        <v>100</v>
      </c>
    </row>
    <row r="17">
      <c r="A17" s="20" t="str">
        <f>'SPM-Uspro'!$C$20</f>
        <v>#REF!</v>
      </c>
      <c r="B17" s="21">
        <f>IFERROR(__xludf.DUMMYFUNCTION("IMPORTRANGE(""https://docs.google.com/spreadsheets/d/1773f1iHRnXhbrVjAHR7zUpu3neZdvtp1a2ikB9LJu8U/edit#gid=1522333227"",""Rekap UBM!$B$9"")"),1.0)</f>
        <v>1</v>
      </c>
      <c r="C17" s="21">
        <f>IFERROR(__xludf.DUMMYFUNCTION("IMPORTRANGE(""https://docs.google.com/spreadsheets/d/1773f1iHRnXhbrVjAHR7zUpu3neZdvtp1a2ikB9LJu8U/edit#gid=1522333227"",""Rekap UBM!$C$9"")"),1.0)</f>
        <v>1</v>
      </c>
      <c r="D17" s="28">
        <f t="shared" si="1"/>
        <v>100</v>
      </c>
      <c r="E17" s="21">
        <f>IFERROR(__xludf.DUMMYFUNCTION("IMPORTRANGE(""https://docs.google.com/spreadsheets/d/1773f1iHRnXhbrVjAHR7zUpu3neZdvtp1a2ikB9LJu8U/edit#gid=1522333227"",""Rekap UBM!$E$9"")"),13.0)</f>
        <v>13</v>
      </c>
      <c r="F17" s="29">
        <f>IFERROR(__xludf.DUMMYFUNCTION("IMPORTRANGE(""https://docs.google.com/spreadsheets/d/1773f1iHRnXhbrVjAHR7zUpu3neZdvtp1a2ikB9LJu8U/edit#gid=1522333227"",""Rekap UBM!$F$9"")"),13.0)</f>
        <v>13</v>
      </c>
      <c r="G17" s="28">
        <f t="shared" si="2"/>
        <v>100</v>
      </c>
      <c r="H17" s="29">
        <f>IFERROR(__xludf.DUMMYFUNCTION("IMPORTRANGE(""https://docs.google.com/spreadsheets/d/1773f1iHRnXhbrVjAHR7zUpu3neZdvtp1a2ikB9LJu8U/edit#gid=1522333227"",""Rekap UBM!$H$9"")"),1.0)</f>
        <v>1</v>
      </c>
      <c r="I17" s="29">
        <f>IFERROR(__xludf.DUMMYFUNCTION("IMPORTRANGE(""https://docs.google.com/spreadsheets/d/1773f1iHRnXhbrVjAHR7zUpu3neZdvtp1a2ikB9LJu8U/edit#gid=1522333227"",""Rekap UBM!$I$9"")"),1.0)</f>
        <v>1</v>
      </c>
      <c r="J17" s="28">
        <f t="shared" si="3"/>
        <v>100</v>
      </c>
    </row>
    <row r="18">
      <c r="A18" s="20" t="str">
        <f>'SPM-Uspro'!$C$21</f>
        <v>#REF!</v>
      </c>
      <c r="B18" s="21">
        <f>IFERROR(__xludf.DUMMYFUNCTION("IMPORTRANGE(""https://docs.google.com/spreadsheets/d/10iNzN1LqaStEosZKEbqcoOm3IdodNsG31q_nR0Y6WGo/edit#gid=1522333227"",""Rekap UBM!$B$9"")"),1.0)</f>
        <v>1</v>
      </c>
      <c r="C18" s="21">
        <f>IFERROR(__xludf.DUMMYFUNCTION("IMPORTRANGE(""https://docs.google.com/spreadsheets/d/10iNzN1LqaStEosZKEbqcoOm3IdodNsG31q_nR0Y6WGo/edit#gid=1522333227"",""Rekap UBM!$C$9"")"),1.0)</f>
        <v>1</v>
      </c>
      <c r="D18" s="28">
        <f t="shared" si="1"/>
        <v>100</v>
      </c>
      <c r="E18" s="21" t="str">
        <f>IFERROR(__xludf.DUMMYFUNCTION("IMPORTRANGE(""https://docs.google.com/spreadsheets/d/10iNzN1LqaStEosZKEbqcoOm3IdodNsG31q_nR0Y6WGo/edit#gid=1522333227"",""Rekap UBM!$E$9"")"),"")</f>
        <v/>
      </c>
      <c r="F18" s="29" t="str">
        <f>IFERROR(__xludf.DUMMYFUNCTION("IMPORTRANGE(""https://docs.google.com/spreadsheets/d/10iNzN1LqaStEosZKEbqcoOm3IdodNsG31q_nR0Y6WGo/edit#gid=1522333227"",""Rekap UBM!$F$9"")"),"")</f>
        <v/>
      </c>
      <c r="G18" s="28" t="str">
        <f t="shared" si="2"/>
        <v>#DIV/0!</v>
      </c>
      <c r="H18" s="29" t="str">
        <f>IFERROR(__xludf.DUMMYFUNCTION("IMPORTRANGE(""https://docs.google.com/spreadsheets/d/10iNzN1LqaStEosZKEbqcoOm3IdodNsG31q_nR0Y6WGo/edit#gid=1522333227"",""Rekap UBM!$H$9"")"),"")</f>
        <v/>
      </c>
      <c r="I18" s="29" t="str">
        <f>IFERROR(__xludf.DUMMYFUNCTION("IMPORTRANGE(""https://docs.google.com/spreadsheets/d/10iNzN1LqaStEosZKEbqcoOm3IdodNsG31q_nR0Y6WGo/edit#gid=1522333227"",""Rekap UBM!$I$9"")"),"")</f>
        <v/>
      </c>
      <c r="J18" s="28" t="str">
        <f t="shared" si="3"/>
        <v>#DIV/0!</v>
      </c>
    </row>
    <row r="19">
      <c r="A19" s="20" t="str">
        <f>'SPM-Uspro'!$C$22</f>
        <v>#REF!</v>
      </c>
      <c r="B19" s="21">
        <f>IFERROR(__xludf.DUMMYFUNCTION("IMPORTRANGE(""https://docs.google.com/spreadsheets/d/17PsIU8VcCQeO2M4DM42K9vv32GkafaaF1LxQevQ8tAQ/edit#gid=1892753874"",""Rekap UBM!$B$9"")"),1.0)</f>
        <v>1</v>
      </c>
      <c r="C19" s="21">
        <f>IFERROR(__xludf.DUMMYFUNCTION("IMPORTRANGE(""https://docs.google.com/spreadsheets/d/17PsIU8VcCQeO2M4DM42K9vv32GkafaaF1LxQevQ8tAQ/edit#gid=1892753874"",""Rekap UBM!$C$9"")"),0.0)</f>
        <v>0</v>
      </c>
      <c r="D19" s="28">
        <f t="shared" si="1"/>
        <v>0</v>
      </c>
      <c r="E19" s="21" t="str">
        <f>IFERROR(__xludf.DUMMYFUNCTION("IMPORTRANGE(""https://docs.google.com/spreadsheets/d/17PsIU8VcCQeO2M4DM42K9vv32GkafaaF1LxQevQ8tAQ/edit#gid=1892753874"",""Rekap UBM!$E$9"")"),"")</f>
        <v/>
      </c>
      <c r="F19" s="29" t="str">
        <f>IFERROR(__xludf.DUMMYFUNCTION("IMPORTRANGE(""https://docs.google.com/spreadsheets/d/17PsIU8VcCQeO2M4DM42K9vv32GkafaaF1LxQevQ8tAQ/edit#gid=1892753874"",""Rekap UBM!$F$9"")"),"")</f>
        <v/>
      </c>
      <c r="G19" s="28" t="str">
        <f t="shared" si="2"/>
        <v>#DIV/0!</v>
      </c>
      <c r="H19" s="29" t="str">
        <f>IFERROR(__xludf.DUMMYFUNCTION("IMPORTRANGE(""https://docs.google.com/spreadsheets/d/17PsIU8VcCQeO2M4DM42K9vv32GkafaaF1LxQevQ8tAQ/edit#gid=1892753874"",""Rekap UBM!$H$9"")"),"")</f>
        <v/>
      </c>
      <c r="I19" s="29" t="str">
        <f>IFERROR(__xludf.DUMMYFUNCTION("IMPORTRANGE(""https://docs.google.com/spreadsheets/d/17PsIU8VcCQeO2M4DM42K9vv32GkafaaF1LxQevQ8tAQ/edit#gid=1892753874"",""Rekap UBM!$I$9"")"),"")</f>
        <v/>
      </c>
      <c r="J19" s="28" t="str">
        <f t="shared" si="3"/>
        <v>#DIV/0!</v>
      </c>
    </row>
    <row r="20">
      <c r="A20" s="20" t="str">
        <f>'SPM-Uspro'!$C$23</f>
        <v>#REF!</v>
      </c>
      <c r="B20" s="21">
        <f>IFERROR(__xludf.DUMMYFUNCTION("IMPORTRANGE(""https://docs.google.com/spreadsheets/d/1d0Y9C6M4-a1TT0nIK2Gc4IXnbVyxoBB3v7o1biNGAwY/edit#gid=1892753874"",""Rekap UBM!$B$9"")"),1.0)</f>
        <v>1</v>
      </c>
      <c r="C20" s="21">
        <f>IFERROR(__xludf.DUMMYFUNCTION("IMPORTRANGE(""https://docs.google.com/spreadsheets/d/1d0Y9C6M4-a1TT0nIK2Gc4IXnbVyxoBB3v7o1biNGAwY/edit#gid=1892753874"",""Rekap UBM!$C$9"")"),1.0)</f>
        <v>1</v>
      </c>
      <c r="D20" s="28">
        <f t="shared" si="1"/>
        <v>100</v>
      </c>
      <c r="E20" s="21">
        <f>IFERROR(__xludf.DUMMYFUNCTION("IMPORTRANGE(""https://docs.google.com/spreadsheets/d/1d0Y9C6M4-a1TT0nIK2Gc4IXnbVyxoBB3v7o1biNGAwY/edit#gid=1892753874"",""Rekap UBM!$E$9"")"),6.0)</f>
        <v>6</v>
      </c>
      <c r="F20" s="29">
        <f>IFERROR(__xludf.DUMMYFUNCTION("IMPORTRANGE(""https://docs.google.com/spreadsheets/d/1d0Y9C6M4-a1TT0nIK2Gc4IXnbVyxoBB3v7o1biNGAwY/edit#gid=1892753874"",""Rekap UBM!$F$9"")"),0.0)</f>
        <v>0</v>
      </c>
      <c r="G20" s="28">
        <f t="shared" si="2"/>
        <v>0</v>
      </c>
      <c r="H20" s="29" t="str">
        <f>IFERROR(__xludf.DUMMYFUNCTION("IMPORTRANGE(""https://docs.google.com/spreadsheets/d/1d0Y9C6M4-a1TT0nIK2Gc4IXnbVyxoBB3v7o1biNGAwY/edit#gid=1892753874"",""Rekap UBM!$H$9"")"),"")</f>
        <v/>
      </c>
      <c r="I20" s="29">
        <f>IFERROR(__xludf.DUMMYFUNCTION("IMPORTRANGE(""https://docs.google.com/spreadsheets/d/1d0Y9C6M4-a1TT0nIK2Gc4IXnbVyxoBB3v7o1biNGAwY/edit#gid=1892753874"",""Rekap UBM!$I$9"")"),0.0)</f>
        <v>0</v>
      </c>
      <c r="J20" s="28" t="str">
        <f t="shared" si="3"/>
        <v>#DIV/0!</v>
      </c>
    </row>
    <row r="21" ht="15.75" customHeight="1">
      <c r="A21" s="20" t="str">
        <f>'SPM-Uspro'!$C$24</f>
        <v>#REF!</v>
      </c>
      <c r="B21" s="21">
        <f>IFERROR(__xludf.DUMMYFUNCTION("IMPORTRANGE(""https://docs.google.com/spreadsheets/d/1fXA1yQzUNddp7fjR2KF22o4rRJu9lP9Ja9Oi1mRbg_E/edit#gid=1892753874"",""Rekap UBM!$B$9"")"),1.0)</f>
        <v>1</v>
      </c>
      <c r="C21" s="21">
        <f>IFERROR(__xludf.DUMMYFUNCTION("IMPORTRANGE(""https://docs.google.com/spreadsheets/d/1fXA1yQzUNddp7fjR2KF22o4rRJu9lP9Ja9Oi1mRbg_E/edit#gid=1892753874"",""Rekap UBM!$C$9"")"),1.0)</f>
        <v>1</v>
      </c>
      <c r="D21" s="28">
        <f t="shared" si="1"/>
        <v>100</v>
      </c>
      <c r="E21" s="21">
        <f>IFERROR(__xludf.DUMMYFUNCTION("IMPORTRANGE(""https://docs.google.com/spreadsheets/d/1fXA1yQzUNddp7fjR2KF22o4rRJu9lP9Ja9Oi1mRbg_E/edit#gid=1892753874"",""Rekap UBM!$E$9"")"),1.0)</f>
        <v>1</v>
      </c>
      <c r="F21" s="29">
        <f>IFERROR(__xludf.DUMMYFUNCTION("IMPORTRANGE(""https://docs.google.com/spreadsheets/d/1fXA1yQzUNddp7fjR2KF22o4rRJu9lP9Ja9Oi1mRbg_E/edit#gid=1892753874"",""Rekap UBM!$F$9"")"),1.0)</f>
        <v>1</v>
      </c>
      <c r="G21" s="28">
        <f t="shared" si="2"/>
        <v>100</v>
      </c>
      <c r="H21" s="29" t="str">
        <f>IFERROR(__xludf.DUMMYFUNCTION("IMPORTRANGE(""https://docs.google.com/spreadsheets/d/1fXA1yQzUNddp7fjR2KF22o4rRJu9lP9Ja9Oi1mRbg_E/edit#gid=1892753874"",""Rekap UBM!$H$9"")"),"")</f>
        <v/>
      </c>
      <c r="I21" s="29" t="str">
        <f>IFERROR(__xludf.DUMMYFUNCTION("IMPORTRANGE(""https://docs.google.com/spreadsheets/d/1fXA1yQzUNddp7fjR2KF22o4rRJu9lP9Ja9Oi1mRbg_E/edit#gid=1892753874"",""Rekap UBM!$I$9"")"),"")</f>
        <v/>
      </c>
      <c r="J21" s="28" t="str">
        <f t="shared" si="3"/>
        <v>#DIV/0!</v>
      </c>
    </row>
    <row r="22" ht="15.75" customHeight="1">
      <c r="A22" s="20" t="str">
        <f>'SPM-Uspro'!$C$25</f>
        <v>#REF!</v>
      </c>
      <c r="B22" s="21">
        <f>IFERROR(__xludf.DUMMYFUNCTION("IMPORTRANGE(""https://docs.google.com/spreadsheets/d/155aL1qCqCleHwMP0Y8LT5akEbK27R0RIka-lAkeoeEo/edit#gid=1892753874"",""Rekap UBM!$B$9"")"),1.0)</f>
        <v>1</v>
      </c>
      <c r="C22" s="21">
        <f>IFERROR(__xludf.DUMMYFUNCTION("IMPORTRANGE(""https://docs.google.com/spreadsheets/d/155aL1qCqCleHwMP0Y8LT5akEbK27R0RIka-lAkeoeEo/edit#gid=1892753874"",""Rekap UBM!$C$9"")"),1.0)</f>
        <v>1</v>
      </c>
      <c r="D22" s="28">
        <f t="shared" si="1"/>
        <v>100</v>
      </c>
      <c r="E22" s="21">
        <f>IFERROR(__xludf.DUMMYFUNCTION("IMPORTRANGE(""https://docs.google.com/spreadsheets/d/155aL1qCqCleHwMP0Y8LT5akEbK27R0RIka-lAkeoeEo/edit#gid=1892753874"",""Rekap UBM!$E$9"")"),7.0)</f>
        <v>7</v>
      </c>
      <c r="F22" s="29">
        <f>IFERROR(__xludf.DUMMYFUNCTION("IMPORTRANGE(""https://docs.google.com/spreadsheets/d/155aL1qCqCleHwMP0Y8LT5akEbK27R0RIka-lAkeoeEo/edit#gid=1892753874"",""Rekap UBM!$F$9"")"),0.0)</f>
        <v>0</v>
      </c>
      <c r="G22" s="28">
        <f t="shared" si="2"/>
        <v>0</v>
      </c>
      <c r="H22" s="29">
        <f>IFERROR(__xludf.DUMMYFUNCTION("IMPORTRANGE(""https://docs.google.com/spreadsheets/d/155aL1qCqCleHwMP0Y8LT5akEbK27R0RIka-lAkeoeEo/edit#gid=1892753874"",""Rekap UBM!$H$9"")"),2.0)</f>
        <v>2</v>
      </c>
      <c r="I22" s="29">
        <f>IFERROR(__xludf.DUMMYFUNCTION("IMPORTRANGE(""https://docs.google.com/spreadsheets/d/155aL1qCqCleHwMP0Y8LT5akEbK27R0RIka-lAkeoeEo/edit#gid=1892753874"",""Rekap UBM!$I$9"")"),0.0)</f>
        <v>0</v>
      </c>
      <c r="J22" s="28">
        <f t="shared" si="3"/>
        <v>0</v>
      </c>
    </row>
    <row r="23" ht="15.75" customHeight="1">
      <c r="A23" s="20" t="str">
        <f>'SPM-Uspro'!$C$26</f>
        <v>#REF!</v>
      </c>
      <c r="B23" s="21">
        <f>IFERROR(__xludf.DUMMYFUNCTION("IMPORTRANGE(""https://docs.google.com/spreadsheets/d/13FRR1udp0c0o6Nmp_8YHiON78PXr-L4FqQQ028JcBYY/edit#gid=1522333227"",""Rekap UBM!$B$9"")"),1.0)</f>
        <v>1</v>
      </c>
      <c r="C23" s="21">
        <f>IFERROR(__xludf.DUMMYFUNCTION("IMPORTRANGE(""https://docs.google.com/spreadsheets/d/13FRR1udp0c0o6Nmp_8YHiON78PXr-L4FqQQ028JcBYY/edit#gid=1522333227"",""Rekap UBM!$C$9"")"),1.0)</f>
        <v>1</v>
      </c>
      <c r="D23" s="28">
        <f t="shared" si="1"/>
        <v>100</v>
      </c>
      <c r="E23" s="21">
        <f>IFERROR(__xludf.DUMMYFUNCTION("IMPORTRANGE(""https://docs.google.com/spreadsheets/d/13FRR1udp0c0o6Nmp_8YHiON78PXr-L4FqQQ028JcBYY/edit#gid=1522333227"",""Rekap UBM!$E$9"")"),0.0)</f>
        <v>0</v>
      </c>
      <c r="F23" s="29">
        <f>IFERROR(__xludf.DUMMYFUNCTION("IMPORTRANGE(""https://docs.google.com/spreadsheets/d/13FRR1udp0c0o6Nmp_8YHiON78PXr-L4FqQQ028JcBYY/edit#gid=1522333227"",""Rekap UBM!$F$9"")"),0.0)</f>
        <v>0</v>
      </c>
      <c r="G23" s="28" t="str">
        <f t="shared" si="2"/>
        <v>#DIV/0!</v>
      </c>
      <c r="H23" s="29">
        <f>IFERROR(__xludf.DUMMYFUNCTION("IMPORTRANGE(""https://docs.google.com/spreadsheets/d/13FRR1udp0c0o6Nmp_8YHiON78PXr-L4FqQQ028JcBYY/edit#gid=1522333227"",""Rekap UBM!$H$9"")"),0.0)</f>
        <v>0</v>
      </c>
      <c r="I23" s="29">
        <f>IFERROR(__xludf.DUMMYFUNCTION("IMPORTRANGE(""https://docs.google.com/spreadsheets/d/13FRR1udp0c0o6Nmp_8YHiON78PXr-L4FqQQ028JcBYY/edit#gid=1522333227"",""Rekap UBM!$I$9"")"),0.0)</f>
        <v>0</v>
      </c>
      <c r="J23" s="28" t="str">
        <f t="shared" si="3"/>
        <v>#DIV/0!</v>
      </c>
    </row>
    <row r="24" ht="15.75" customHeight="1">
      <c r="A24" s="20" t="str">
        <f>'SPM-Uspro'!$C$27</f>
        <v>#REF!</v>
      </c>
      <c r="B24" s="21">
        <f>IFERROR(__xludf.DUMMYFUNCTION("IMPORTRANGE(""https://docs.google.com/spreadsheets/d/1PVwe4VvYfj1Vj424c9kO9TcQogsBM6TpXMbFve9togc/edit#gid=1522333227"",""Rekap UBM!$B$9"")"),1.0)</f>
        <v>1</v>
      </c>
      <c r="C24" s="21">
        <f>IFERROR(__xludf.DUMMYFUNCTION("IMPORTRANGE(""https://docs.google.com/spreadsheets/d/1PVwe4VvYfj1Vj424c9kO9TcQogsBM6TpXMbFve9togc/edit#gid=1522333227"",""Rekap UBM!$C$9"")"),1.0)</f>
        <v>1</v>
      </c>
      <c r="D24" s="28">
        <f t="shared" si="1"/>
        <v>100</v>
      </c>
      <c r="E24" s="21">
        <f>IFERROR(__xludf.DUMMYFUNCTION("IMPORTRANGE(""https://docs.google.com/spreadsheets/d/1PVwe4VvYfj1Vj424c9kO9TcQogsBM6TpXMbFve9togc/edit#gid=1522333227"",""Rekap UBM!$E$9"")"),3.0)</f>
        <v>3</v>
      </c>
      <c r="F24" s="29">
        <f>IFERROR(__xludf.DUMMYFUNCTION("IMPORTRANGE(""https://docs.google.com/spreadsheets/d/1PVwe4VvYfj1Vj424c9kO9TcQogsBM6TpXMbFve9togc/edit#gid=1522333227"",""Rekap UBM!$F$9"")"),0.0)</f>
        <v>0</v>
      </c>
      <c r="G24" s="28">
        <f t="shared" si="2"/>
        <v>0</v>
      </c>
      <c r="H24" s="29">
        <f>IFERROR(__xludf.DUMMYFUNCTION("IMPORTRANGE(""https://docs.google.com/spreadsheets/d/1PVwe4VvYfj1Vj424c9kO9TcQogsBM6TpXMbFve9togc/edit#gid=1522333227"",""Rekap UBM!$H$9"")"),0.0)</f>
        <v>0</v>
      </c>
      <c r="I24" s="29">
        <f>IFERROR(__xludf.DUMMYFUNCTION("IMPORTRANGE(""https://docs.google.com/spreadsheets/d/1PVwe4VvYfj1Vj424c9kO9TcQogsBM6TpXMbFve9togc/edit#gid=1522333227"",""Rekap UBM!$I$9"")"),0.0)</f>
        <v>0</v>
      </c>
      <c r="J24" s="28" t="str">
        <f t="shared" si="3"/>
        <v>#DIV/0!</v>
      </c>
    </row>
    <row r="25" ht="15.75" customHeight="1">
      <c r="A25" s="20" t="str">
        <f>'SPM-Uspro'!$C$28</f>
        <v>#REF!</v>
      </c>
      <c r="B25" s="21">
        <f>IFERROR(__xludf.DUMMYFUNCTION("IMPORTRANGE(""https://docs.google.com/spreadsheets/d/15JUTNcWxWGx3Ha8qvwbxgnbDbT4v7N3vZYvqPZ68_Xg/edit#gid=1892753874"",""Rekap UBM!$B$9"")"),1.0)</f>
        <v>1</v>
      </c>
      <c r="C25" s="21">
        <f>IFERROR(__xludf.DUMMYFUNCTION("IMPORTRANGE(""https://docs.google.com/spreadsheets/d/15JUTNcWxWGx3Ha8qvwbxgnbDbT4v7N3vZYvqPZ68_Xg/edit#gid=1892753874"",""Rekap UBM!$C$9"")"),1.0)</f>
        <v>1</v>
      </c>
      <c r="D25" s="28">
        <f t="shared" si="1"/>
        <v>100</v>
      </c>
      <c r="E25" s="21" t="str">
        <f>IFERROR(__xludf.DUMMYFUNCTION("IMPORTRANGE(""https://docs.google.com/spreadsheets/d/15JUTNcWxWGx3Ha8qvwbxgnbDbT4v7N3vZYvqPZ68_Xg/edit#gid=1892753874"",""Rekap UBM!$E$9"")"),"")</f>
        <v/>
      </c>
      <c r="F25" s="29" t="str">
        <f>IFERROR(__xludf.DUMMYFUNCTION("IMPORTRANGE(""https://docs.google.com/spreadsheets/d/15JUTNcWxWGx3Ha8qvwbxgnbDbT4v7N3vZYvqPZ68_Xg/edit#gid=1892753874"",""Rekap UBM!$F$9"")"),"")</f>
        <v/>
      </c>
      <c r="G25" s="28" t="str">
        <f t="shared" si="2"/>
        <v>#DIV/0!</v>
      </c>
      <c r="H25" s="29" t="str">
        <f>IFERROR(__xludf.DUMMYFUNCTION("IMPORTRANGE(""https://docs.google.com/spreadsheets/d/15JUTNcWxWGx3Ha8qvwbxgnbDbT4v7N3vZYvqPZ68_Xg/edit#gid=1892753874"",""Rekap UBM!$H$9"")"),"")</f>
        <v/>
      </c>
      <c r="I25" s="29" t="str">
        <f>IFERROR(__xludf.DUMMYFUNCTION("IMPORTRANGE(""https://docs.google.com/spreadsheets/d/15JUTNcWxWGx3Ha8qvwbxgnbDbT4v7N3vZYvqPZ68_Xg/edit#gid=1892753874"",""Rekap UBM!$I$9"")"),"")</f>
        <v/>
      </c>
      <c r="J25" s="28" t="str">
        <f t="shared" si="3"/>
        <v>#DIV/0!</v>
      </c>
    </row>
    <row r="26" ht="15.75" customHeight="1"/>
    <row r="27" ht="15.75" customHeight="1">
      <c r="B27" s="30" t="s">
        <v>24</v>
      </c>
      <c r="C27" s="31"/>
      <c r="D27" s="32" t="s">
        <v>25</v>
      </c>
    </row>
    <row r="28" ht="15.75" customHeight="1">
      <c r="B28" s="31"/>
      <c r="C28" s="31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7:D9"/>
    <mergeCell ref="E7:E9"/>
    <mergeCell ref="F7:F9"/>
    <mergeCell ref="G7:G9"/>
    <mergeCell ref="H7:H9"/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4.78"/>
    <col customWidth="1" min="2" max="2" width="14.33"/>
    <col customWidth="1" min="3" max="3" width="7.44"/>
    <col customWidth="1" min="4" max="4" width="20.67"/>
    <col customWidth="1" min="5" max="5" width="6.78"/>
    <col customWidth="1" min="6" max="6" width="10.0"/>
    <col customWidth="1" min="7" max="7" width="15.11"/>
    <col customWidth="1" min="8" max="8" width="6.78"/>
    <col customWidth="1" min="9" max="9" width="7.78"/>
    <col customWidth="1" min="10" max="10" width="10.44"/>
    <col customWidth="1" min="11" max="11" width="6.78"/>
    <col customWidth="1" min="12" max="12" width="10.89"/>
    <col customWidth="1" min="13" max="31" width="6.78"/>
    <col customWidth="1" min="32" max="32" width="7.89"/>
    <col customWidth="1" min="33" max="33" width="10.11"/>
    <col customWidth="1" min="34" max="52" width="6.78"/>
  </cols>
  <sheetData>
    <row r="1">
      <c r="A1" s="33" t="s">
        <v>26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</row>
    <row r="2" ht="15.0" customHeight="1">
      <c r="A2" s="37" t="s">
        <v>27</v>
      </c>
      <c r="B2" s="37"/>
      <c r="C2" s="35"/>
      <c r="D2" s="35"/>
      <c r="E2" s="35"/>
      <c r="F2" s="35"/>
      <c r="G2" s="35"/>
      <c r="H2" s="35"/>
      <c r="I2" s="35"/>
      <c r="J2" s="35"/>
      <c r="K2" s="3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</row>
    <row r="3" ht="15.0" customHeight="1">
      <c r="A3" s="37" t="s">
        <v>28</v>
      </c>
      <c r="B3" s="37"/>
      <c r="C3" s="35"/>
      <c r="D3" s="35"/>
      <c r="E3" s="35"/>
      <c r="F3" s="35"/>
      <c r="G3" s="35"/>
      <c r="H3" s="35"/>
      <c r="I3" s="35"/>
      <c r="J3" s="35"/>
      <c r="K3" s="35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</row>
    <row r="4" ht="15.0" customHeight="1">
      <c r="A4" s="38"/>
      <c r="B4" s="38"/>
      <c r="C4" s="35"/>
      <c r="D4" s="35"/>
      <c r="E4" s="35"/>
      <c r="F4" s="35"/>
      <c r="G4" s="35"/>
      <c r="H4" s="35"/>
      <c r="I4" s="35"/>
      <c r="J4" s="35"/>
      <c r="K4" s="3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>
      <c r="A5" s="39" t="s">
        <v>29</v>
      </c>
      <c r="B5" s="40" t="s">
        <v>30</v>
      </c>
      <c r="C5" s="41" t="s">
        <v>31</v>
      </c>
      <c r="D5" s="41" t="s">
        <v>32</v>
      </c>
      <c r="E5" s="42" t="s">
        <v>33</v>
      </c>
      <c r="F5" s="43" t="s">
        <v>34</v>
      </c>
      <c r="G5" s="43" t="s">
        <v>35</v>
      </c>
      <c r="H5" s="43" t="s">
        <v>33</v>
      </c>
      <c r="I5" s="44" t="s">
        <v>36</v>
      </c>
      <c r="J5" s="44" t="s">
        <v>37</v>
      </c>
      <c r="K5" s="45" t="s">
        <v>33</v>
      </c>
      <c r="L5" s="44" t="s">
        <v>38</v>
      </c>
      <c r="M5" s="45" t="s">
        <v>33</v>
      </c>
      <c r="N5" s="46" t="s">
        <v>39</v>
      </c>
      <c r="O5" s="47"/>
      <c r="P5" s="48"/>
      <c r="Q5" s="49" t="s">
        <v>40</v>
      </c>
      <c r="R5" s="47"/>
      <c r="S5" s="47"/>
      <c r="T5" s="47"/>
      <c r="U5" s="47"/>
      <c r="V5" s="48"/>
      <c r="W5" s="46" t="s">
        <v>41</v>
      </c>
      <c r="X5" s="47"/>
      <c r="Y5" s="48"/>
      <c r="Z5" s="49" t="s">
        <v>42</v>
      </c>
      <c r="AA5" s="47"/>
      <c r="AB5" s="47"/>
      <c r="AC5" s="47"/>
      <c r="AD5" s="47"/>
      <c r="AE5" s="48"/>
      <c r="AF5" s="50" t="s">
        <v>43</v>
      </c>
      <c r="AG5" s="50" t="s">
        <v>44</v>
      </c>
      <c r="AH5" s="51" t="s">
        <v>33</v>
      </c>
      <c r="AI5" s="52" t="s">
        <v>45</v>
      </c>
      <c r="AJ5" s="47"/>
      <c r="AK5" s="48"/>
      <c r="AL5" s="52" t="s">
        <v>46</v>
      </c>
      <c r="AM5" s="47"/>
      <c r="AN5" s="47"/>
      <c r="AO5" s="47"/>
      <c r="AP5" s="47"/>
      <c r="AQ5" s="48"/>
      <c r="AR5" s="52" t="s">
        <v>47</v>
      </c>
      <c r="AS5" s="47"/>
      <c r="AT5" s="48"/>
      <c r="AU5" s="52" t="s">
        <v>48</v>
      </c>
      <c r="AV5" s="47"/>
      <c r="AW5" s="47"/>
      <c r="AX5" s="47"/>
      <c r="AY5" s="47"/>
      <c r="AZ5" s="48"/>
    </row>
    <row r="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3"/>
      <c r="O6" s="54"/>
      <c r="P6" s="55"/>
      <c r="Q6" s="53"/>
      <c r="R6" s="54"/>
      <c r="S6" s="54"/>
      <c r="T6" s="54"/>
      <c r="U6" s="54"/>
      <c r="V6" s="55"/>
      <c r="W6" s="53"/>
      <c r="X6" s="54"/>
      <c r="Y6" s="55"/>
      <c r="Z6" s="53"/>
      <c r="AA6" s="54"/>
      <c r="AB6" s="54"/>
      <c r="AC6" s="54"/>
      <c r="AD6" s="54"/>
      <c r="AE6" s="55"/>
      <c r="AF6" s="15"/>
      <c r="AG6" s="15"/>
      <c r="AH6" s="15"/>
      <c r="AI6" s="53"/>
      <c r="AJ6" s="54"/>
      <c r="AK6" s="55"/>
      <c r="AL6" s="53"/>
      <c r="AM6" s="54"/>
      <c r="AN6" s="54"/>
      <c r="AO6" s="54"/>
      <c r="AP6" s="54"/>
      <c r="AQ6" s="55"/>
      <c r="AR6" s="53"/>
      <c r="AS6" s="54"/>
      <c r="AT6" s="55"/>
      <c r="AU6" s="53"/>
      <c r="AV6" s="54"/>
      <c r="AW6" s="54"/>
      <c r="AX6" s="54"/>
      <c r="AY6" s="54"/>
      <c r="AZ6" s="55"/>
    </row>
    <row r="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6" t="s">
        <v>49</v>
      </c>
      <c r="O7" s="56" t="s">
        <v>50</v>
      </c>
      <c r="P7" s="56" t="s">
        <v>51</v>
      </c>
      <c r="Q7" s="56" t="s">
        <v>49</v>
      </c>
      <c r="R7" s="56" t="s">
        <v>33</v>
      </c>
      <c r="S7" s="56" t="s">
        <v>50</v>
      </c>
      <c r="T7" s="56" t="s">
        <v>33</v>
      </c>
      <c r="U7" s="56" t="s">
        <v>51</v>
      </c>
      <c r="V7" s="56" t="s">
        <v>33</v>
      </c>
      <c r="W7" s="56" t="s">
        <v>49</v>
      </c>
      <c r="X7" s="56" t="s">
        <v>50</v>
      </c>
      <c r="Y7" s="56" t="s">
        <v>51</v>
      </c>
      <c r="Z7" s="56" t="s">
        <v>49</v>
      </c>
      <c r="AA7" s="56" t="s">
        <v>33</v>
      </c>
      <c r="AB7" s="56" t="s">
        <v>50</v>
      </c>
      <c r="AC7" s="56" t="s">
        <v>33</v>
      </c>
      <c r="AD7" s="56" t="s">
        <v>51</v>
      </c>
      <c r="AE7" s="56" t="s">
        <v>33</v>
      </c>
      <c r="AF7" s="15"/>
      <c r="AG7" s="15"/>
      <c r="AH7" s="15"/>
      <c r="AI7" s="57" t="s">
        <v>49</v>
      </c>
      <c r="AJ7" s="57" t="s">
        <v>50</v>
      </c>
      <c r="AK7" s="57" t="s">
        <v>51</v>
      </c>
      <c r="AL7" s="57" t="s">
        <v>49</v>
      </c>
      <c r="AM7" s="57" t="s">
        <v>33</v>
      </c>
      <c r="AN7" s="57" t="s">
        <v>50</v>
      </c>
      <c r="AO7" s="57" t="s">
        <v>33</v>
      </c>
      <c r="AP7" s="57" t="s">
        <v>51</v>
      </c>
      <c r="AQ7" s="57" t="s">
        <v>33</v>
      </c>
      <c r="AR7" s="57" t="s">
        <v>49</v>
      </c>
      <c r="AS7" s="57" t="s">
        <v>50</v>
      </c>
      <c r="AT7" s="57" t="s">
        <v>51</v>
      </c>
      <c r="AU7" s="57" t="s">
        <v>49</v>
      </c>
      <c r="AV7" s="57" t="s">
        <v>33</v>
      </c>
      <c r="AW7" s="57" t="s">
        <v>50</v>
      </c>
      <c r="AX7" s="57" t="s">
        <v>33</v>
      </c>
      <c r="AY7" s="57" t="s">
        <v>51</v>
      </c>
      <c r="AZ7" s="57" t="s">
        <v>33</v>
      </c>
    </row>
    <row r="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17"/>
      <c r="AG8" s="17"/>
      <c r="AH8" s="17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</row>
    <row r="9">
      <c r="A9" s="60">
        <v>1.0</v>
      </c>
      <c r="B9" s="61">
        <v>2.0</v>
      </c>
      <c r="C9" s="62">
        <v>15.0</v>
      </c>
      <c r="D9" s="62">
        <v>16.0</v>
      </c>
      <c r="E9" s="62">
        <v>17.0</v>
      </c>
      <c r="F9" s="63">
        <v>18.0</v>
      </c>
      <c r="G9" s="63">
        <v>19.0</v>
      </c>
      <c r="H9" s="63">
        <v>20.0</v>
      </c>
      <c r="I9" s="64">
        <v>21.0</v>
      </c>
      <c r="J9" s="64">
        <v>22.0</v>
      </c>
      <c r="K9" s="64">
        <v>23.0</v>
      </c>
      <c r="L9" s="64">
        <v>24.0</v>
      </c>
      <c r="M9" s="64">
        <v>25.0</v>
      </c>
      <c r="N9" s="64">
        <v>26.0</v>
      </c>
      <c r="O9" s="64">
        <v>27.0</v>
      </c>
      <c r="P9" s="64">
        <v>28.0</v>
      </c>
      <c r="Q9" s="64">
        <v>29.0</v>
      </c>
      <c r="R9" s="64">
        <v>30.0</v>
      </c>
      <c r="S9" s="64">
        <v>31.0</v>
      </c>
      <c r="T9" s="64">
        <v>32.0</v>
      </c>
      <c r="U9" s="64">
        <v>33.0</v>
      </c>
      <c r="V9" s="64">
        <v>34.0</v>
      </c>
      <c r="W9" s="64">
        <v>35.0</v>
      </c>
      <c r="X9" s="64">
        <v>36.0</v>
      </c>
      <c r="Y9" s="64">
        <v>37.0</v>
      </c>
      <c r="Z9" s="64">
        <v>38.0</v>
      </c>
      <c r="AA9" s="64">
        <v>39.0</v>
      </c>
      <c r="AB9" s="64">
        <v>40.0</v>
      </c>
      <c r="AC9" s="64">
        <v>41.0</v>
      </c>
      <c r="AD9" s="64">
        <v>42.0</v>
      </c>
      <c r="AE9" s="64">
        <v>43.0</v>
      </c>
      <c r="AF9" s="65">
        <v>44.0</v>
      </c>
      <c r="AG9" s="65">
        <v>45.0</v>
      </c>
      <c r="AH9" s="65">
        <v>46.0</v>
      </c>
      <c r="AI9" s="66">
        <v>47.0</v>
      </c>
      <c r="AJ9" s="66">
        <v>48.0</v>
      </c>
      <c r="AK9" s="66">
        <v>49.0</v>
      </c>
      <c r="AL9" s="66">
        <v>50.0</v>
      </c>
      <c r="AM9" s="66">
        <v>51.0</v>
      </c>
      <c r="AN9" s="66">
        <v>52.0</v>
      </c>
      <c r="AO9" s="66">
        <v>53.0</v>
      </c>
      <c r="AP9" s="66">
        <v>54.0</v>
      </c>
      <c r="AQ9" s="66">
        <v>55.0</v>
      </c>
      <c r="AR9" s="66">
        <v>56.0</v>
      </c>
      <c r="AS9" s="66">
        <v>57.0</v>
      </c>
      <c r="AT9" s="66">
        <v>58.0</v>
      </c>
      <c r="AU9" s="66">
        <v>59.0</v>
      </c>
      <c r="AV9" s="66">
        <v>60.0</v>
      </c>
      <c r="AW9" s="66">
        <v>61.0</v>
      </c>
      <c r="AX9" s="66">
        <v>62.0</v>
      </c>
      <c r="AY9" s="66">
        <v>63.0</v>
      </c>
      <c r="AZ9" s="66">
        <v>64.0</v>
      </c>
    </row>
    <row r="10">
      <c r="A10" s="67">
        <v>1.0</v>
      </c>
      <c r="B10" s="68" t="s">
        <v>52</v>
      </c>
      <c r="C10" s="69">
        <v>48.0</v>
      </c>
      <c r="D10" s="69">
        <v>2.0</v>
      </c>
      <c r="E10" s="70">
        <f t="shared" ref="E10:E26" si="1">D10/C10*100</f>
        <v>4.166666667</v>
      </c>
      <c r="F10" s="69">
        <v>37.0</v>
      </c>
      <c r="G10" s="69">
        <v>2.0</v>
      </c>
      <c r="H10" s="70">
        <f t="shared" ref="H10:H26" si="2">G10/F10*100</f>
        <v>5.405405405</v>
      </c>
      <c r="I10" s="69">
        <v>27.0</v>
      </c>
      <c r="J10" s="69">
        <v>0.0</v>
      </c>
      <c r="K10" s="70">
        <f t="shared" ref="K10:K26" si="3">J10/I10*100</f>
        <v>0</v>
      </c>
      <c r="L10" s="69">
        <v>0.0</v>
      </c>
      <c r="M10" s="70">
        <f t="shared" ref="M10:M26" si="4">L10/I10*100</f>
        <v>0</v>
      </c>
      <c r="N10" s="69">
        <v>1967.0</v>
      </c>
      <c r="O10" s="69">
        <v>1883.0</v>
      </c>
      <c r="P10" s="71">
        <f t="shared" ref="P10:P14" si="5">N10+O10</f>
        <v>3850</v>
      </c>
      <c r="Q10" s="69">
        <v>0.0</v>
      </c>
      <c r="R10" s="70">
        <f t="shared" ref="R10:R26" si="6">Q10/N10*100</f>
        <v>0</v>
      </c>
      <c r="S10" s="69">
        <v>0.0</v>
      </c>
      <c r="T10" s="70">
        <f t="shared" ref="T10:T26" si="7">S10/O10*100</f>
        <v>0</v>
      </c>
      <c r="U10" s="71">
        <f t="shared" ref="U10:U25" si="8">Q10+S10</f>
        <v>0</v>
      </c>
      <c r="V10" s="70">
        <f t="shared" ref="V10:V26" si="9">U10/P10*100</f>
        <v>0</v>
      </c>
      <c r="W10" s="69">
        <v>0.0</v>
      </c>
      <c r="X10" s="69">
        <v>0.0</v>
      </c>
      <c r="Y10" s="71">
        <f t="shared" ref="Y10:Y19" si="10">W10+X10</f>
        <v>0</v>
      </c>
      <c r="Z10" s="69">
        <v>0.0</v>
      </c>
      <c r="AA10" s="70">
        <v>0.0</v>
      </c>
      <c r="AB10" s="69">
        <v>0.0</v>
      </c>
      <c r="AC10" s="70">
        <v>0.0</v>
      </c>
      <c r="AD10" s="71">
        <f t="shared" ref="AD10:AD25" si="11">Z10+AB10</f>
        <v>0</v>
      </c>
      <c r="AE10" s="70">
        <v>0.0</v>
      </c>
      <c r="AF10" s="69">
        <v>0.0</v>
      </c>
      <c r="AG10" s="69">
        <v>0.0</v>
      </c>
      <c r="AH10" s="70">
        <v>0.0</v>
      </c>
      <c r="AI10" s="69">
        <v>0.0</v>
      </c>
      <c r="AJ10" s="69">
        <v>0.0</v>
      </c>
      <c r="AK10" s="71">
        <f t="shared" ref="AK10:AK25" si="12">AI10+AJ10</f>
        <v>0</v>
      </c>
      <c r="AL10" s="69">
        <v>0.0</v>
      </c>
      <c r="AM10" s="70">
        <v>0.0</v>
      </c>
      <c r="AN10" s="69">
        <v>0.0</v>
      </c>
      <c r="AO10" s="70">
        <v>0.0</v>
      </c>
      <c r="AP10" s="71">
        <f t="shared" ref="AP10:AP25" si="13">AL10+AN10</f>
        <v>0</v>
      </c>
      <c r="AQ10" s="70">
        <v>0.0</v>
      </c>
      <c r="AR10" s="69">
        <v>0.0</v>
      </c>
      <c r="AS10" s="69">
        <v>0.0</v>
      </c>
      <c r="AT10" s="71">
        <f t="shared" ref="AT10:AT25" si="14">AR10+AS10</f>
        <v>0</v>
      </c>
      <c r="AU10" s="69">
        <v>0.0</v>
      </c>
      <c r="AV10" s="70">
        <v>0.0</v>
      </c>
      <c r="AW10" s="71">
        <v>0.0</v>
      </c>
      <c r="AX10" s="70">
        <v>0.0</v>
      </c>
      <c r="AY10" s="71">
        <f t="shared" ref="AY10:AY25" si="15">AU10+AW10</f>
        <v>0</v>
      </c>
      <c r="AZ10" s="70">
        <v>0.0</v>
      </c>
    </row>
    <row r="11">
      <c r="A11" s="67">
        <v>2.0</v>
      </c>
      <c r="B11" s="72" t="s">
        <v>53</v>
      </c>
      <c r="C11" s="69">
        <v>48.0</v>
      </c>
      <c r="D11" s="69">
        <v>2.0</v>
      </c>
      <c r="E11" s="70">
        <f t="shared" si="1"/>
        <v>4.166666667</v>
      </c>
      <c r="F11" s="69">
        <v>37.0</v>
      </c>
      <c r="G11" s="69">
        <v>1.0</v>
      </c>
      <c r="H11" s="70">
        <f t="shared" si="2"/>
        <v>2.702702703</v>
      </c>
      <c r="I11" s="69">
        <v>27.0</v>
      </c>
      <c r="J11" s="69">
        <v>1.0</v>
      </c>
      <c r="K11" s="70">
        <f t="shared" si="3"/>
        <v>3.703703704</v>
      </c>
      <c r="L11" s="69">
        <v>0.0</v>
      </c>
      <c r="M11" s="70">
        <f t="shared" si="4"/>
        <v>0</v>
      </c>
      <c r="N11" s="69">
        <v>1967.0</v>
      </c>
      <c r="O11" s="69">
        <v>1883.0</v>
      </c>
      <c r="P11" s="71">
        <f t="shared" si="5"/>
        <v>3850</v>
      </c>
      <c r="Q11" s="69">
        <v>0.0</v>
      </c>
      <c r="R11" s="70">
        <f t="shared" si="6"/>
        <v>0</v>
      </c>
      <c r="S11" s="69">
        <v>0.0</v>
      </c>
      <c r="T11" s="70">
        <f t="shared" si="7"/>
        <v>0</v>
      </c>
      <c r="U11" s="71">
        <f t="shared" si="8"/>
        <v>0</v>
      </c>
      <c r="V11" s="70">
        <f t="shared" si="9"/>
        <v>0</v>
      </c>
      <c r="W11" s="69">
        <v>0.0</v>
      </c>
      <c r="X11" s="69">
        <v>0.0</v>
      </c>
      <c r="Y11" s="71">
        <f t="shared" si="10"/>
        <v>0</v>
      </c>
      <c r="Z11" s="69">
        <v>0.0</v>
      </c>
      <c r="AA11" s="70">
        <v>0.0</v>
      </c>
      <c r="AB11" s="69">
        <v>0.0</v>
      </c>
      <c r="AC11" s="70">
        <v>0.0</v>
      </c>
      <c r="AD11" s="71">
        <f t="shared" si="11"/>
        <v>0</v>
      </c>
      <c r="AE11" s="70">
        <v>0.0</v>
      </c>
      <c r="AF11" s="71">
        <v>0.0</v>
      </c>
      <c r="AG11" s="69">
        <v>0.0</v>
      </c>
      <c r="AH11" s="70">
        <v>0.0</v>
      </c>
      <c r="AI11" s="69">
        <v>0.0</v>
      </c>
      <c r="AJ11" s="69">
        <v>0.0</v>
      </c>
      <c r="AK11" s="71">
        <f t="shared" si="12"/>
        <v>0</v>
      </c>
      <c r="AL11" s="69">
        <v>0.0</v>
      </c>
      <c r="AM11" s="70">
        <v>0.0</v>
      </c>
      <c r="AN11" s="69">
        <v>0.0</v>
      </c>
      <c r="AO11" s="70">
        <v>0.0</v>
      </c>
      <c r="AP11" s="71">
        <f t="shared" si="13"/>
        <v>0</v>
      </c>
      <c r="AQ11" s="70">
        <v>0.0</v>
      </c>
      <c r="AR11" s="69">
        <v>0.0</v>
      </c>
      <c r="AS11" s="69">
        <v>0.0</v>
      </c>
      <c r="AT11" s="71">
        <f t="shared" si="14"/>
        <v>0</v>
      </c>
      <c r="AU11" s="69">
        <v>0.0</v>
      </c>
      <c r="AV11" s="70">
        <v>0.0</v>
      </c>
      <c r="AW11" s="71">
        <v>0.0</v>
      </c>
      <c r="AX11" s="70">
        <v>0.0</v>
      </c>
      <c r="AY11" s="71">
        <f t="shared" si="15"/>
        <v>0</v>
      </c>
      <c r="AZ11" s="70">
        <v>0.0</v>
      </c>
    </row>
    <row r="12">
      <c r="A12" s="67">
        <v>3.0</v>
      </c>
      <c r="B12" s="72" t="s">
        <v>54</v>
      </c>
      <c r="C12" s="69">
        <v>48.0</v>
      </c>
      <c r="D12" s="69">
        <v>0.0</v>
      </c>
      <c r="E12" s="70">
        <f t="shared" si="1"/>
        <v>0</v>
      </c>
      <c r="F12" s="69">
        <v>37.0</v>
      </c>
      <c r="G12" s="69">
        <v>1.0</v>
      </c>
      <c r="H12" s="70">
        <f t="shared" si="2"/>
        <v>2.702702703</v>
      </c>
      <c r="I12" s="69">
        <v>27.0</v>
      </c>
      <c r="J12" s="69">
        <v>0.0</v>
      </c>
      <c r="K12" s="70">
        <f t="shared" si="3"/>
        <v>0</v>
      </c>
      <c r="L12" s="69">
        <v>0.0</v>
      </c>
      <c r="M12" s="70">
        <f t="shared" si="4"/>
        <v>0</v>
      </c>
      <c r="N12" s="69">
        <v>1967.0</v>
      </c>
      <c r="O12" s="69">
        <v>1883.0</v>
      </c>
      <c r="P12" s="71">
        <f t="shared" si="5"/>
        <v>3850</v>
      </c>
      <c r="Q12" s="69">
        <v>0.0</v>
      </c>
      <c r="R12" s="70">
        <f t="shared" si="6"/>
        <v>0</v>
      </c>
      <c r="S12" s="69">
        <v>0.0</v>
      </c>
      <c r="T12" s="70">
        <f t="shared" si="7"/>
        <v>0</v>
      </c>
      <c r="U12" s="71">
        <f t="shared" si="8"/>
        <v>0</v>
      </c>
      <c r="V12" s="70">
        <f t="shared" si="9"/>
        <v>0</v>
      </c>
      <c r="W12" s="69">
        <v>0.0</v>
      </c>
      <c r="X12" s="69">
        <v>0.0</v>
      </c>
      <c r="Y12" s="71">
        <f t="shared" si="10"/>
        <v>0</v>
      </c>
      <c r="Z12" s="69">
        <v>0.0</v>
      </c>
      <c r="AA12" s="70">
        <v>0.0</v>
      </c>
      <c r="AB12" s="69">
        <v>0.0</v>
      </c>
      <c r="AC12" s="70">
        <v>0.0</v>
      </c>
      <c r="AD12" s="71">
        <f t="shared" si="11"/>
        <v>0</v>
      </c>
      <c r="AE12" s="70">
        <v>0.0</v>
      </c>
      <c r="AF12" s="71">
        <v>0.0</v>
      </c>
      <c r="AG12" s="69">
        <v>0.0</v>
      </c>
      <c r="AH12" s="70">
        <v>0.0</v>
      </c>
      <c r="AI12" s="69">
        <v>0.0</v>
      </c>
      <c r="AJ12" s="69">
        <v>0.0</v>
      </c>
      <c r="AK12" s="71">
        <f t="shared" si="12"/>
        <v>0</v>
      </c>
      <c r="AL12" s="69">
        <v>0.0</v>
      </c>
      <c r="AM12" s="70">
        <v>0.0</v>
      </c>
      <c r="AN12" s="69">
        <v>0.0</v>
      </c>
      <c r="AO12" s="70">
        <v>0.0</v>
      </c>
      <c r="AP12" s="71">
        <f t="shared" si="13"/>
        <v>0</v>
      </c>
      <c r="AQ12" s="70">
        <v>0.0</v>
      </c>
      <c r="AR12" s="69">
        <v>0.0</v>
      </c>
      <c r="AS12" s="69">
        <v>0.0</v>
      </c>
      <c r="AT12" s="71">
        <f t="shared" si="14"/>
        <v>0</v>
      </c>
      <c r="AU12" s="69">
        <v>0.0</v>
      </c>
      <c r="AV12" s="70">
        <v>0.0</v>
      </c>
      <c r="AW12" s="71">
        <v>0.0</v>
      </c>
      <c r="AX12" s="70">
        <v>0.0</v>
      </c>
      <c r="AY12" s="71">
        <f t="shared" si="15"/>
        <v>0</v>
      </c>
      <c r="AZ12" s="70">
        <v>0.0</v>
      </c>
    </row>
    <row r="13">
      <c r="A13" s="73">
        <v>4.0</v>
      </c>
      <c r="B13" s="74" t="s">
        <v>55</v>
      </c>
      <c r="C13" s="75">
        <f>C12</f>
        <v>48</v>
      </c>
      <c r="D13" s="75">
        <f>SUM(D10:D12)</f>
        <v>4</v>
      </c>
      <c r="E13" s="76">
        <f t="shared" si="1"/>
        <v>8.333333333</v>
      </c>
      <c r="F13" s="75">
        <f t="shared" ref="F13:F26" si="20">F12</f>
        <v>37</v>
      </c>
      <c r="G13" s="75">
        <f>SUM(G10:G12)</f>
        <v>4</v>
      </c>
      <c r="H13" s="76">
        <f t="shared" si="2"/>
        <v>10.81081081</v>
      </c>
      <c r="I13" s="75">
        <f t="shared" ref="I13:I26" si="21">I12</f>
        <v>27</v>
      </c>
      <c r="J13" s="75">
        <f>SUM(J10:J12)</f>
        <v>1</v>
      </c>
      <c r="K13" s="76">
        <f t="shared" si="3"/>
        <v>3.703703704</v>
      </c>
      <c r="L13" s="75">
        <f>SUM(L10:L12)</f>
        <v>0</v>
      </c>
      <c r="M13" s="76">
        <f t="shared" si="4"/>
        <v>0</v>
      </c>
      <c r="N13" s="75">
        <f t="shared" ref="N13:O13" si="16">MAX(N10:N12)</f>
        <v>1967</v>
      </c>
      <c r="O13" s="75">
        <f t="shared" si="16"/>
        <v>1883</v>
      </c>
      <c r="P13" s="75">
        <f t="shared" si="5"/>
        <v>3850</v>
      </c>
      <c r="Q13" s="75">
        <f>SUM(Q10:Q12)</f>
        <v>0</v>
      </c>
      <c r="R13" s="76">
        <f t="shared" si="6"/>
        <v>0</v>
      </c>
      <c r="S13" s="75">
        <f>SUM(S10:S12)</f>
        <v>0</v>
      </c>
      <c r="T13" s="76">
        <f t="shared" si="7"/>
        <v>0</v>
      </c>
      <c r="U13" s="75">
        <f t="shared" si="8"/>
        <v>0</v>
      </c>
      <c r="V13" s="76">
        <f t="shared" si="9"/>
        <v>0</v>
      </c>
      <c r="W13" s="75">
        <f t="shared" ref="W13:X13" si="17">SUM(W10:W12)</f>
        <v>0</v>
      </c>
      <c r="X13" s="75">
        <f t="shared" si="17"/>
        <v>0</v>
      </c>
      <c r="Y13" s="75">
        <f t="shared" si="10"/>
        <v>0</v>
      </c>
      <c r="Z13" s="75">
        <f>SUM(Z10:Z12)</f>
        <v>0</v>
      </c>
      <c r="AA13" s="76">
        <v>0.0</v>
      </c>
      <c r="AB13" s="75">
        <f>SUM(AB10:AB12)</f>
        <v>0</v>
      </c>
      <c r="AC13" s="76">
        <v>0.0</v>
      </c>
      <c r="AD13" s="75">
        <f t="shared" si="11"/>
        <v>0</v>
      </c>
      <c r="AE13" s="76">
        <v>0.0</v>
      </c>
      <c r="AF13" s="75">
        <f t="shared" ref="AF13:AF17" si="22">AF12</f>
        <v>0</v>
      </c>
      <c r="AG13" s="75">
        <f>SUM(AG10:AG12)</f>
        <v>0</v>
      </c>
      <c r="AH13" s="76">
        <v>0.0</v>
      </c>
      <c r="AI13" s="75">
        <f t="shared" ref="AI13:AJ13" si="18">MAX(AI10:AI12)</f>
        <v>0</v>
      </c>
      <c r="AJ13" s="75">
        <f t="shared" si="18"/>
        <v>0</v>
      </c>
      <c r="AK13" s="75">
        <f t="shared" si="12"/>
        <v>0</v>
      </c>
      <c r="AL13" s="75">
        <f>SUM(AL10:AL12)</f>
        <v>0</v>
      </c>
      <c r="AM13" s="76">
        <v>0.0</v>
      </c>
      <c r="AN13" s="75">
        <f>SUM(AN10:AN12)</f>
        <v>0</v>
      </c>
      <c r="AO13" s="76">
        <v>0.0</v>
      </c>
      <c r="AP13" s="75">
        <f t="shared" si="13"/>
        <v>0</v>
      </c>
      <c r="AQ13" s="76">
        <v>0.0</v>
      </c>
      <c r="AR13" s="75">
        <f t="shared" ref="AR13:AS13" si="19">SUM(AR10:AR12)</f>
        <v>0</v>
      </c>
      <c r="AS13" s="75">
        <f t="shared" si="19"/>
        <v>0</v>
      </c>
      <c r="AT13" s="75">
        <f t="shared" si="14"/>
        <v>0</v>
      </c>
      <c r="AU13" s="75">
        <f>SUM(AU10:AU12)</f>
        <v>0</v>
      </c>
      <c r="AV13" s="76">
        <v>0.0</v>
      </c>
      <c r="AW13" s="75">
        <f>SUM(AW10:AW12)</f>
        <v>0</v>
      </c>
      <c r="AX13" s="76">
        <v>0.0</v>
      </c>
      <c r="AY13" s="75">
        <f t="shared" si="15"/>
        <v>0</v>
      </c>
      <c r="AZ13" s="76">
        <v>0.0</v>
      </c>
    </row>
    <row r="14" ht="15.75" customHeight="1">
      <c r="A14" s="67">
        <v>5.0</v>
      </c>
      <c r="B14" s="72" t="s">
        <v>56</v>
      </c>
      <c r="C14" s="69">
        <v>48.0</v>
      </c>
      <c r="D14" s="69">
        <v>1.0</v>
      </c>
      <c r="E14" s="70">
        <f t="shared" si="1"/>
        <v>2.083333333</v>
      </c>
      <c r="F14" s="71">
        <f t="shared" si="20"/>
        <v>37</v>
      </c>
      <c r="G14" s="69">
        <v>1.0</v>
      </c>
      <c r="H14" s="70">
        <f t="shared" si="2"/>
        <v>2.702702703</v>
      </c>
      <c r="I14" s="71">
        <f t="shared" si="21"/>
        <v>27</v>
      </c>
      <c r="J14" s="69">
        <v>0.0</v>
      </c>
      <c r="K14" s="70">
        <f t="shared" si="3"/>
        <v>0</v>
      </c>
      <c r="L14" s="69">
        <v>0.0</v>
      </c>
      <c r="M14" s="70">
        <f t="shared" si="4"/>
        <v>0</v>
      </c>
      <c r="N14" s="69">
        <v>1967.0</v>
      </c>
      <c r="O14" s="69">
        <v>1883.0</v>
      </c>
      <c r="P14" s="71">
        <f t="shared" si="5"/>
        <v>3850</v>
      </c>
      <c r="Q14" s="69">
        <v>0.0</v>
      </c>
      <c r="R14" s="70">
        <f t="shared" si="6"/>
        <v>0</v>
      </c>
      <c r="S14" s="69">
        <v>0.0</v>
      </c>
      <c r="T14" s="70">
        <f t="shared" si="7"/>
        <v>0</v>
      </c>
      <c r="U14" s="71">
        <f t="shared" si="8"/>
        <v>0</v>
      </c>
      <c r="V14" s="70">
        <f t="shared" si="9"/>
        <v>0</v>
      </c>
      <c r="W14" s="69">
        <v>0.0</v>
      </c>
      <c r="X14" s="69">
        <v>0.0</v>
      </c>
      <c r="Y14" s="71">
        <f t="shared" si="10"/>
        <v>0</v>
      </c>
      <c r="Z14" s="69">
        <v>0.0</v>
      </c>
      <c r="AA14" s="70">
        <v>0.0</v>
      </c>
      <c r="AB14" s="69">
        <v>0.0</v>
      </c>
      <c r="AC14" s="70">
        <v>0.0</v>
      </c>
      <c r="AD14" s="71">
        <f t="shared" si="11"/>
        <v>0</v>
      </c>
      <c r="AE14" s="70">
        <v>0.0</v>
      </c>
      <c r="AF14" s="71">
        <f t="shared" si="22"/>
        <v>0</v>
      </c>
      <c r="AG14" s="69">
        <v>0.0</v>
      </c>
      <c r="AH14" s="70">
        <v>0.0</v>
      </c>
      <c r="AI14" s="69">
        <v>0.0</v>
      </c>
      <c r="AJ14" s="69">
        <v>0.0</v>
      </c>
      <c r="AK14" s="71">
        <f t="shared" si="12"/>
        <v>0</v>
      </c>
      <c r="AL14" s="69">
        <v>0.0</v>
      </c>
      <c r="AM14" s="70">
        <v>0.0</v>
      </c>
      <c r="AN14" s="69">
        <v>0.0</v>
      </c>
      <c r="AO14" s="70">
        <v>0.0</v>
      </c>
      <c r="AP14" s="71">
        <f t="shared" si="13"/>
        <v>0</v>
      </c>
      <c r="AQ14" s="70">
        <v>0.0</v>
      </c>
      <c r="AR14" s="69">
        <v>0.0</v>
      </c>
      <c r="AS14" s="69">
        <v>0.0</v>
      </c>
      <c r="AT14" s="71">
        <f t="shared" si="14"/>
        <v>0</v>
      </c>
      <c r="AU14" s="69">
        <v>0.0</v>
      </c>
      <c r="AV14" s="70">
        <v>0.0</v>
      </c>
      <c r="AW14" s="71">
        <v>0.0</v>
      </c>
      <c r="AX14" s="70">
        <v>0.0</v>
      </c>
      <c r="AY14" s="71">
        <f t="shared" si="15"/>
        <v>0</v>
      </c>
      <c r="AZ14" s="70">
        <v>0.0</v>
      </c>
    </row>
    <row r="15" ht="15.75" customHeight="1">
      <c r="A15" s="67">
        <v>6.0</v>
      </c>
      <c r="B15" s="72" t="s">
        <v>57</v>
      </c>
      <c r="C15" s="69">
        <v>48.0</v>
      </c>
      <c r="D15" s="69">
        <v>4.0</v>
      </c>
      <c r="E15" s="70">
        <f t="shared" si="1"/>
        <v>8.333333333</v>
      </c>
      <c r="F15" s="71">
        <f t="shared" si="20"/>
        <v>37</v>
      </c>
      <c r="G15" s="69">
        <v>1.0</v>
      </c>
      <c r="H15" s="70">
        <f t="shared" si="2"/>
        <v>2.702702703</v>
      </c>
      <c r="I15" s="71">
        <f t="shared" si="21"/>
        <v>27</v>
      </c>
      <c r="J15" s="69">
        <v>0.0</v>
      </c>
      <c r="K15" s="70">
        <f t="shared" si="3"/>
        <v>0</v>
      </c>
      <c r="L15" s="69">
        <v>0.0</v>
      </c>
      <c r="M15" s="70">
        <f t="shared" si="4"/>
        <v>0</v>
      </c>
      <c r="N15" s="69">
        <v>1967.0</v>
      </c>
      <c r="O15" s="69">
        <v>1883.0</v>
      </c>
      <c r="P15" s="69">
        <v>3850.0</v>
      </c>
      <c r="Q15" s="69">
        <v>0.0</v>
      </c>
      <c r="R15" s="70">
        <f t="shared" si="6"/>
        <v>0</v>
      </c>
      <c r="S15" s="69">
        <v>0.0</v>
      </c>
      <c r="T15" s="70">
        <f t="shared" si="7"/>
        <v>0</v>
      </c>
      <c r="U15" s="71">
        <f t="shared" si="8"/>
        <v>0</v>
      </c>
      <c r="V15" s="70">
        <f t="shared" si="9"/>
        <v>0</v>
      </c>
      <c r="W15" s="69">
        <v>0.0</v>
      </c>
      <c r="X15" s="69">
        <v>0.0</v>
      </c>
      <c r="Y15" s="71">
        <f t="shared" si="10"/>
        <v>0</v>
      </c>
      <c r="Z15" s="69">
        <v>0.0</v>
      </c>
      <c r="AA15" s="70">
        <v>0.0</v>
      </c>
      <c r="AB15" s="69">
        <v>0.0</v>
      </c>
      <c r="AC15" s="70">
        <v>0.0</v>
      </c>
      <c r="AD15" s="71">
        <f t="shared" si="11"/>
        <v>0</v>
      </c>
      <c r="AE15" s="70">
        <v>0.0</v>
      </c>
      <c r="AF15" s="71">
        <f t="shared" si="22"/>
        <v>0</v>
      </c>
      <c r="AG15" s="69">
        <v>0.0</v>
      </c>
      <c r="AH15" s="70">
        <v>0.0</v>
      </c>
      <c r="AI15" s="69">
        <v>0.0</v>
      </c>
      <c r="AJ15" s="69">
        <v>0.0</v>
      </c>
      <c r="AK15" s="71">
        <f t="shared" si="12"/>
        <v>0</v>
      </c>
      <c r="AL15" s="69">
        <v>0.0</v>
      </c>
      <c r="AM15" s="70">
        <v>0.0</v>
      </c>
      <c r="AN15" s="69">
        <v>0.0</v>
      </c>
      <c r="AO15" s="70">
        <v>0.0</v>
      </c>
      <c r="AP15" s="71">
        <f t="shared" si="13"/>
        <v>0</v>
      </c>
      <c r="AQ15" s="70">
        <v>0.0</v>
      </c>
      <c r="AR15" s="69">
        <v>0.0</v>
      </c>
      <c r="AS15" s="69">
        <v>0.0</v>
      </c>
      <c r="AT15" s="71">
        <f t="shared" si="14"/>
        <v>0</v>
      </c>
      <c r="AU15" s="69">
        <v>0.0</v>
      </c>
      <c r="AV15" s="70">
        <v>0.0</v>
      </c>
      <c r="AW15" s="71">
        <v>0.0</v>
      </c>
      <c r="AX15" s="70">
        <v>0.0</v>
      </c>
      <c r="AY15" s="71">
        <f t="shared" si="15"/>
        <v>0</v>
      </c>
      <c r="AZ15" s="70">
        <v>0.0</v>
      </c>
    </row>
    <row r="16" ht="15.75" customHeight="1">
      <c r="A16" s="77">
        <v>7.0</v>
      </c>
      <c r="B16" s="72" t="s">
        <v>58</v>
      </c>
      <c r="C16" s="69">
        <v>48.0</v>
      </c>
      <c r="D16" s="69">
        <v>1.0</v>
      </c>
      <c r="E16" s="70">
        <f t="shared" si="1"/>
        <v>2.083333333</v>
      </c>
      <c r="F16" s="71">
        <f t="shared" si="20"/>
        <v>37</v>
      </c>
      <c r="G16" s="69">
        <v>2.0</v>
      </c>
      <c r="H16" s="70">
        <f t="shared" si="2"/>
        <v>5.405405405</v>
      </c>
      <c r="I16" s="71">
        <f t="shared" si="21"/>
        <v>27</v>
      </c>
      <c r="J16" s="69">
        <v>0.0</v>
      </c>
      <c r="K16" s="70">
        <f t="shared" si="3"/>
        <v>0</v>
      </c>
      <c r="L16" s="69">
        <v>0.0</v>
      </c>
      <c r="M16" s="70">
        <f t="shared" si="4"/>
        <v>0</v>
      </c>
      <c r="N16" s="69">
        <v>1967.0</v>
      </c>
      <c r="O16" s="69">
        <v>1883.0</v>
      </c>
      <c r="P16" s="71">
        <f t="shared" ref="P16:P25" si="24">N16+O16</f>
        <v>3850</v>
      </c>
      <c r="Q16" s="69">
        <v>0.0</v>
      </c>
      <c r="R16" s="70">
        <f t="shared" si="6"/>
        <v>0</v>
      </c>
      <c r="S16" s="69">
        <v>0.0</v>
      </c>
      <c r="T16" s="70">
        <f t="shared" si="7"/>
        <v>0</v>
      </c>
      <c r="U16" s="71">
        <f t="shared" si="8"/>
        <v>0</v>
      </c>
      <c r="V16" s="70">
        <f t="shared" si="9"/>
        <v>0</v>
      </c>
      <c r="W16" s="69">
        <v>0.0</v>
      </c>
      <c r="X16" s="69">
        <v>0.0</v>
      </c>
      <c r="Y16" s="71">
        <f t="shared" si="10"/>
        <v>0</v>
      </c>
      <c r="Z16" s="69">
        <v>0.0</v>
      </c>
      <c r="AA16" s="70">
        <v>0.0</v>
      </c>
      <c r="AB16" s="69">
        <v>0.0</v>
      </c>
      <c r="AC16" s="70">
        <v>0.0</v>
      </c>
      <c r="AD16" s="71">
        <f t="shared" si="11"/>
        <v>0</v>
      </c>
      <c r="AE16" s="70">
        <v>0.0</v>
      </c>
      <c r="AF16" s="71">
        <f t="shared" si="22"/>
        <v>0</v>
      </c>
      <c r="AG16" s="69">
        <v>0.0</v>
      </c>
      <c r="AH16" s="70">
        <v>0.0</v>
      </c>
      <c r="AI16" s="69">
        <v>0.0</v>
      </c>
      <c r="AJ16" s="69">
        <v>0.0</v>
      </c>
      <c r="AK16" s="71">
        <f t="shared" si="12"/>
        <v>0</v>
      </c>
      <c r="AL16" s="69">
        <v>0.0</v>
      </c>
      <c r="AM16" s="70">
        <v>0.0</v>
      </c>
      <c r="AN16" s="69">
        <v>0.0</v>
      </c>
      <c r="AO16" s="70">
        <v>0.0</v>
      </c>
      <c r="AP16" s="71">
        <f t="shared" si="13"/>
        <v>0</v>
      </c>
      <c r="AQ16" s="70">
        <v>0.0</v>
      </c>
      <c r="AR16" s="69">
        <v>0.0</v>
      </c>
      <c r="AS16" s="69">
        <v>0.0</v>
      </c>
      <c r="AT16" s="71">
        <f t="shared" si="14"/>
        <v>0</v>
      </c>
      <c r="AU16" s="69">
        <v>0.0</v>
      </c>
      <c r="AV16" s="70">
        <v>0.0</v>
      </c>
      <c r="AW16" s="71">
        <v>0.0</v>
      </c>
      <c r="AX16" s="70">
        <v>0.0</v>
      </c>
      <c r="AY16" s="71">
        <f t="shared" si="15"/>
        <v>0</v>
      </c>
      <c r="AZ16" s="70">
        <v>0.0</v>
      </c>
    </row>
    <row r="17" ht="15.75" customHeight="1">
      <c r="A17" s="73">
        <v>8.0</v>
      </c>
      <c r="B17" s="74" t="s">
        <v>59</v>
      </c>
      <c r="C17" s="75">
        <f t="shared" ref="C17:C26" si="28">C16</f>
        <v>48</v>
      </c>
      <c r="D17" s="75">
        <f>SUM(D14:D16)</f>
        <v>6</v>
      </c>
      <c r="E17" s="76">
        <f t="shared" si="1"/>
        <v>12.5</v>
      </c>
      <c r="F17" s="75">
        <f t="shared" si="20"/>
        <v>37</v>
      </c>
      <c r="G17" s="75">
        <f>SUM(G14:G16)</f>
        <v>4</v>
      </c>
      <c r="H17" s="76">
        <f t="shared" si="2"/>
        <v>10.81081081</v>
      </c>
      <c r="I17" s="75">
        <f t="shared" si="21"/>
        <v>27</v>
      </c>
      <c r="J17" s="75">
        <f>SUM(J14:J16)</f>
        <v>0</v>
      </c>
      <c r="K17" s="76">
        <f t="shared" si="3"/>
        <v>0</v>
      </c>
      <c r="L17" s="75">
        <f>SUM(L14:L16)</f>
        <v>0</v>
      </c>
      <c r="M17" s="76">
        <f t="shared" si="4"/>
        <v>0</v>
      </c>
      <c r="N17" s="75">
        <f t="shared" ref="N17:O17" si="23">MAX(N14:N16)</f>
        <v>1967</v>
      </c>
      <c r="O17" s="75">
        <f t="shared" si="23"/>
        <v>1883</v>
      </c>
      <c r="P17" s="75">
        <f t="shared" si="24"/>
        <v>3850</v>
      </c>
      <c r="Q17" s="75">
        <f>SUM(Q14:Q16)</f>
        <v>0</v>
      </c>
      <c r="R17" s="76">
        <f t="shared" si="6"/>
        <v>0</v>
      </c>
      <c r="S17" s="75">
        <f>SUM(S14:S16)</f>
        <v>0</v>
      </c>
      <c r="T17" s="76">
        <f t="shared" si="7"/>
        <v>0</v>
      </c>
      <c r="U17" s="75">
        <f t="shared" si="8"/>
        <v>0</v>
      </c>
      <c r="V17" s="76">
        <f t="shared" si="9"/>
        <v>0</v>
      </c>
      <c r="W17" s="75">
        <f t="shared" ref="W17:X17" si="25">SUM(W14:W16)</f>
        <v>0</v>
      </c>
      <c r="X17" s="75">
        <f t="shared" si="25"/>
        <v>0</v>
      </c>
      <c r="Y17" s="75">
        <f t="shared" si="10"/>
        <v>0</v>
      </c>
      <c r="Z17" s="75">
        <f>SUM(Z14:Z16)</f>
        <v>0</v>
      </c>
      <c r="AA17" s="76">
        <v>0.0</v>
      </c>
      <c r="AB17" s="75">
        <f>SUM(AB14:AB16)</f>
        <v>0</v>
      </c>
      <c r="AC17" s="76">
        <v>0.0</v>
      </c>
      <c r="AD17" s="75">
        <f t="shared" si="11"/>
        <v>0</v>
      </c>
      <c r="AE17" s="76">
        <v>0.0</v>
      </c>
      <c r="AF17" s="75">
        <f t="shared" si="22"/>
        <v>0</v>
      </c>
      <c r="AG17" s="75">
        <f>SUM(AG14:AG16)</f>
        <v>0</v>
      </c>
      <c r="AH17" s="76">
        <v>0.0</v>
      </c>
      <c r="AI17" s="75">
        <f t="shared" ref="AI17:AJ17" si="26">MAX(AI14:AI16)</f>
        <v>0</v>
      </c>
      <c r="AJ17" s="75">
        <f t="shared" si="26"/>
        <v>0</v>
      </c>
      <c r="AK17" s="75">
        <f t="shared" si="12"/>
        <v>0</v>
      </c>
      <c r="AL17" s="78">
        <v>0.0</v>
      </c>
      <c r="AM17" s="76">
        <v>0.0</v>
      </c>
      <c r="AN17" s="75">
        <f>SUM(AN14:AN16)</f>
        <v>0</v>
      </c>
      <c r="AO17" s="76">
        <v>0.0</v>
      </c>
      <c r="AP17" s="75">
        <f t="shared" si="13"/>
        <v>0</v>
      </c>
      <c r="AQ17" s="76">
        <v>0.0</v>
      </c>
      <c r="AR17" s="75">
        <f t="shared" ref="AR17:AS17" si="27">SUM(AR14:AR16)</f>
        <v>0</v>
      </c>
      <c r="AS17" s="75">
        <f t="shared" si="27"/>
        <v>0</v>
      </c>
      <c r="AT17" s="75">
        <f t="shared" si="14"/>
        <v>0</v>
      </c>
      <c r="AU17" s="75">
        <f>SUM(AU14:AU16)</f>
        <v>0</v>
      </c>
      <c r="AV17" s="76">
        <v>0.0</v>
      </c>
      <c r="AW17" s="75">
        <f>SUM(AW14:AW16)</f>
        <v>0</v>
      </c>
      <c r="AX17" s="76">
        <v>0.0</v>
      </c>
      <c r="AY17" s="75">
        <f t="shared" si="15"/>
        <v>0</v>
      </c>
      <c r="AZ17" s="76">
        <v>0.0</v>
      </c>
    </row>
    <row r="18" ht="15.75" customHeight="1">
      <c r="A18" s="67">
        <v>9.0</v>
      </c>
      <c r="B18" s="72" t="s">
        <v>60</v>
      </c>
      <c r="C18" s="71">
        <f t="shared" si="28"/>
        <v>48</v>
      </c>
      <c r="D18" s="69">
        <v>1.0</v>
      </c>
      <c r="E18" s="70">
        <f t="shared" si="1"/>
        <v>2.083333333</v>
      </c>
      <c r="F18" s="71">
        <f t="shared" si="20"/>
        <v>37</v>
      </c>
      <c r="G18" s="69">
        <v>1.0</v>
      </c>
      <c r="H18" s="70">
        <f t="shared" si="2"/>
        <v>2.702702703</v>
      </c>
      <c r="I18" s="71">
        <f t="shared" si="21"/>
        <v>27</v>
      </c>
      <c r="J18" s="69">
        <v>2.0</v>
      </c>
      <c r="K18" s="70">
        <f t="shared" si="3"/>
        <v>7.407407407</v>
      </c>
      <c r="L18" s="69">
        <v>3.0</v>
      </c>
      <c r="M18" s="70">
        <f t="shared" si="4"/>
        <v>11.11111111</v>
      </c>
      <c r="N18" s="69">
        <v>3561.0</v>
      </c>
      <c r="O18" s="69">
        <v>3224.0</v>
      </c>
      <c r="P18" s="71">
        <f t="shared" si="24"/>
        <v>6785</v>
      </c>
      <c r="Q18" s="69">
        <v>356.0</v>
      </c>
      <c r="R18" s="70">
        <f t="shared" si="6"/>
        <v>9.9971918</v>
      </c>
      <c r="S18" s="69">
        <v>324.0</v>
      </c>
      <c r="T18" s="70">
        <f t="shared" si="7"/>
        <v>10.04962779</v>
      </c>
      <c r="U18" s="71">
        <f t="shared" si="8"/>
        <v>680</v>
      </c>
      <c r="V18" s="70">
        <f t="shared" si="9"/>
        <v>10.02210759</v>
      </c>
      <c r="W18" s="69">
        <v>128.0</v>
      </c>
      <c r="X18" s="69">
        <v>134.0</v>
      </c>
      <c r="Y18" s="71">
        <f t="shared" si="10"/>
        <v>262</v>
      </c>
      <c r="Z18" s="69">
        <v>32.0</v>
      </c>
      <c r="AA18" s="70">
        <f t="shared" ref="AA18:AA21" si="29">Z18/W18*100</f>
        <v>25</v>
      </c>
      <c r="AB18" s="69">
        <v>34.0</v>
      </c>
      <c r="AC18" s="70">
        <f t="shared" ref="AC18:AC21" si="30">AB18/X18*100</f>
        <v>25.37313433</v>
      </c>
      <c r="AD18" s="71">
        <f t="shared" si="11"/>
        <v>66</v>
      </c>
      <c r="AE18" s="70">
        <f t="shared" ref="AE18:AE21" si="31">AD18/Y18*100</f>
        <v>25.19083969</v>
      </c>
      <c r="AF18" s="69">
        <v>11.0</v>
      </c>
      <c r="AG18" s="69">
        <v>3.0</v>
      </c>
      <c r="AH18" s="70">
        <f t="shared" ref="AH18:AH26" si="32">AG18/AF18*100</f>
        <v>27.27272727</v>
      </c>
      <c r="AI18" s="69">
        <v>1951.0</v>
      </c>
      <c r="AJ18" s="69">
        <v>1857.0</v>
      </c>
      <c r="AK18" s="71">
        <f t="shared" si="12"/>
        <v>3808</v>
      </c>
      <c r="AL18" s="69">
        <v>234.0</v>
      </c>
      <c r="AM18" s="70">
        <f t="shared" ref="AM18:AM26" si="33">AL18/AI18*100</f>
        <v>11.99384931</v>
      </c>
      <c r="AN18" s="69">
        <v>365.0</v>
      </c>
      <c r="AO18" s="70">
        <f t="shared" ref="AO18:AO26" si="34">AN18/AJ18*100</f>
        <v>19.6553581</v>
      </c>
      <c r="AP18" s="71">
        <f t="shared" si="13"/>
        <v>599</v>
      </c>
      <c r="AQ18" s="70">
        <f t="shared" ref="AQ18:AQ26" si="35">AP18/AK18*100</f>
        <v>15.73004202</v>
      </c>
      <c r="AR18" s="69">
        <v>98.0</v>
      </c>
      <c r="AS18" s="69">
        <v>101.0</v>
      </c>
      <c r="AT18" s="71">
        <f t="shared" si="14"/>
        <v>199</v>
      </c>
      <c r="AU18" s="69">
        <v>54.0</v>
      </c>
      <c r="AV18" s="70">
        <f t="shared" ref="AV18:AV22" si="36">AU18/AR18*100</f>
        <v>55.10204082</v>
      </c>
      <c r="AW18" s="69">
        <v>59.0</v>
      </c>
      <c r="AX18" s="70">
        <f t="shared" ref="AX18:AX22" si="37">AW18/AS18*100</f>
        <v>58.41584158</v>
      </c>
      <c r="AY18" s="71">
        <f t="shared" si="15"/>
        <v>113</v>
      </c>
      <c r="AZ18" s="70">
        <f t="shared" ref="AZ18:AZ22" si="38">AY18/AT18*100</f>
        <v>56.7839196</v>
      </c>
    </row>
    <row r="19" ht="15.75" customHeight="1">
      <c r="A19" s="67">
        <v>10.0</v>
      </c>
      <c r="B19" s="72" t="s">
        <v>61</v>
      </c>
      <c r="C19" s="71">
        <f t="shared" si="28"/>
        <v>48</v>
      </c>
      <c r="D19" s="69">
        <v>3.0</v>
      </c>
      <c r="E19" s="70">
        <f t="shared" si="1"/>
        <v>6.25</v>
      </c>
      <c r="F19" s="71">
        <f t="shared" si="20"/>
        <v>37</v>
      </c>
      <c r="G19" s="69">
        <v>2.0</v>
      </c>
      <c r="H19" s="70">
        <f t="shared" si="2"/>
        <v>5.405405405</v>
      </c>
      <c r="I19" s="71">
        <f t="shared" si="21"/>
        <v>27</v>
      </c>
      <c r="J19" s="69">
        <v>7.0</v>
      </c>
      <c r="K19" s="70">
        <f t="shared" si="3"/>
        <v>25.92592593</v>
      </c>
      <c r="L19" s="69">
        <v>7.0</v>
      </c>
      <c r="M19" s="70">
        <f t="shared" si="4"/>
        <v>25.92592593</v>
      </c>
      <c r="N19" s="69">
        <v>3561.0</v>
      </c>
      <c r="O19" s="69">
        <v>3224.0</v>
      </c>
      <c r="P19" s="71">
        <f t="shared" si="24"/>
        <v>6785</v>
      </c>
      <c r="Q19" s="69">
        <v>1121.0</v>
      </c>
      <c r="R19" s="70">
        <f t="shared" si="6"/>
        <v>31.47992137</v>
      </c>
      <c r="S19" s="69">
        <v>1123.0</v>
      </c>
      <c r="T19" s="70">
        <f t="shared" si="7"/>
        <v>34.8325062</v>
      </c>
      <c r="U19" s="71">
        <f t="shared" si="8"/>
        <v>2244</v>
      </c>
      <c r="V19" s="70">
        <f t="shared" si="9"/>
        <v>33.07295505</v>
      </c>
      <c r="W19" s="69">
        <v>345.0</v>
      </c>
      <c r="X19" s="69">
        <v>367.0</v>
      </c>
      <c r="Y19" s="71">
        <f t="shared" si="10"/>
        <v>712</v>
      </c>
      <c r="Z19" s="69">
        <v>98.0</v>
      </c>
      <c r="AA19" s="70">
        <f t="shared" si="29"/>
        <v>28.4057971</v>
      </c>
      <c r="AB19" s="69">
        <v>103.0</v>
      </c>
      <c r="AC19" s="70">
        <f t="shared" si="30"/>
        <v>28.0653951</v>
      </c>
      <c r="AD19" s="71">
        <f t="shared" si="11"/>
        <v>201</v>
      </c>
      <c r="AE19" s="70">
        <f t="shared" si="31"/>
        <v>28.23033708</v>
      </c>
      <c r="AF19" s="71">
        <f t="shared" ref="AF19:AF26" si="39">AF18</f>
        <v>11</v>
      </c>
      <c r="AG19" s="69">
        <v>3.0</v>
      </c>
      <c r="AH19" s="70">
        <f t="shared" si="32"/>
        <v>27.27272727</v>
      </c>
      <c r="AI19" s="69">
        <v>1951.0</v>
      </c>
      <c r="AJ19" s="69">
        <v>1857.0</v>
      </c>
      <c r="AK19" s="71">
        <f t="shared" si="12"/>
        <v>3808</v>
      </c>
      <c r="AL19" s="69">
        <v>621.0</v>
      </c>
      <c r="AM19" s="70">
        <f t="shared" si="33"/>
        <v>31.82983086</v>
      </c>
      <c r="AN19" s="69">
        <v>654.0</v>
      </c>
      <c r="AO19" s="70">
        <f t="shared" si="34"/>
        <v>35.2180937</v>
      </c>
      <c r="AP19" s="71">
        <f t="shared" si="13"/>
        <v>1275</v>
      </c>
      <c r="AQ19" s="70">
        <f t="shared" si="35"/>
        <v>33.48214286</v>
      </c>
      <c r="AR19" s="69">
        <v>145.0</v>
      </c>
      <c r="AS19" s="69">
        <v>165.0</v>
      </c>
      <c r="AT19" s="71">
        <f t="shared" si="14"/>
        <v>310</v>
      </c>
      <c r="AU19" s="69">
        <v>76.0</v>
      </c>
      <c r="AV19" s="70">
        <f t="shared" si="36"/>
        <v>52.4137931</v>
      </c>
      <c r="AW19" s="69">
        <v>82.0</v>
      </c>
      <c r="AX19" s="70">
        <f t="shared" si="37"/>
        <v>49.6969697</v>
      </c>
      <c r="AY19" s="71">
        <f t="shared" si="15"/>
        <v>158</v>
      </c>
      <c r="AZ19" s="70">
        <f t="shared" si="38"/>
        <v>50.96774194</v>
      </c>
    </row>
    <row r="20" ht="15.75" customHeight="1">
      <c r="A20" s="67">
        <v>11.0</v>
      </c>
      <c r="B20" s="72" t="s">
        <v>62</v>
      </c>
      <c r="C20" s="71">
        <f t="shared" si="28"/>
        <v>48</v>
      </c>
      <c r="D20" s="69">
        <v>2.0</v>
      </c>
      <c r="E20" s="70">
        <f t="shared" si="1"/>
        <v>4.166666667</v>
      </c>
      <c r="F20" s="71">
        <f t="shared" si="20"/>
        <v>37</v>
      </c>
      <c r="G20" s="69">
        <v>1.0</v>
      </c>
      <c r="H20" s="70">
        <f t="shared" si="2"/>
        <v>2.702702703</v>
      </c>
      <c r="I20" s="71">
        <f t="shared" si="21"/>
        <v>27</v>
      </c>
      <c r="J20" s="69">
        <v>17.0</v>
      </c>
      <c r="K20" s="70">
        <f t="shared" si="3"/>
        <v>62.96296296</v>
      </c>
      <c r="L20" s="69">
        <v>17.0</v>
      </c>
      <c r="M20" s="70">
        <f t="shared" si="4"/>
        <v>62.96296296</v>
      </c>
      <c r="N20" s="69">
        <v>3561.0</v>
      </c>
      <c r="O20" s="69">
        <v>3224.0</v>
      </c>
      <c r="P20" s="71">
        <f t="shared" si="24"/>
        <v>6785</v>
      </c>
      <c r="Q20" s="69">
        <v>1945.0</v>
      </c>
      <c r="R20" s="70">
        <f t="shared" si="6"/>
        <v>54.61948891</v>
      </c>
      <c r="S20" s="69">
        <v>1764.0</v>
      </c>
      <c r="T20" s="70">
        <f t="shared" si="7"/>
        <v>54.7146402</v>
      </c>
      <c r="U20" s="71">
        <f t="shared" si="8"/>
        <v>3709</v>
      </c>
      <c r="V20" s="70">
        <f t="shared" si="9"/>
        <v>54.66470155</v>
      </c>
      <c r="W20" s="69">
        <v>523.0</v>
      </c>
      <c r="X20" s="69">
        <v>412.0</v>
      </c>
      <c r="Y20" s="69">
        <v>935.0</v>
      </c>
      <c r="Z20" s="69">
        <v>212.0</v>
      </c>
      <c r="AA20" s="70">
        <f t="shared" si="29"/>
        <v>40.53537285</v>
      </c>
      <c r="AB20" s="69">
        <v>232.0</v>
      </c>
      <c r="AC20" s="70">
        <f t="shared" si="30"/>
        <v>56.31067961</v>
      </c>
      <c r="AD20" s="71">
        <f t="shared" si="11"/>
        <v>444</v>
      </c>
      <c r="AE20" s="70">
        <f t="shared" si="31"/>
        <v>47.48663102</v>
      </c>
      <c r="AF20" s="71">
        <f t="shared" si="39"/>
        <v>11</v>
      </c>
      <c r="AG20" s="69">
        <v>3.0</v>
      </c>
      <c r="AH20" s="70">
        <f t="shared" si="32"/>
        <v>27.27272727</v>
      </c>
      <c r="AI20" s="69">
        <v>1951.0</v>
      </c>
      <c r="AJ20" s="69">
        <v>1857.0</v>
      </c>
      <c r="AK20" s="71">
        <f t="shared" si="12"/>
        <v>3808</v>
      </c>
      <c r="AL20" s="69">
        <v>546.0</v>
      </c>
      <c r="AM20" s="70">
        <f t="shared" si="33"/>
        <v>27.98564839</v>
      </c>
      <c r="AN20" s="69">
        <v>506.0</v>
      </c>
      <c r="AO20" s="70">
        <f t="shared" si="34"/>
        <v>27.24824987</v>
      </c>
      <c r="AP20" s="71">
        <f t="shared" si="13"/>
        <v>1052</v>
      </c>
      <c r="AQ20" s="70">
        <f t="shared" si="35"/>
        <v>27.62605042</v>
      </c>
      <c r="AR20" s="69">
        <v>162.0</v>
      </c>
      <c r="AS20" s="69">
        <v>151.0</v>
      </c>
      <c r="AT20" s="71">
        <f t="shared" si="14"/>
        <v>313</v>
      </c>
      <c r="AU20" s="69">
        <v>89.0</v>
      </c>
      <c r="AV20" s="70">
        <f t="shared" si="36"/>
        <v>54.9382716</v>
      </c>
      <c r="AW20" s="69">
        <v>78.0</v>
      </c>
      <c r="AX20" s="70">
        <f t="shared" si="37"/>
        <v>51.65562914</v>
      </c>
      <c r="AY20" s="71">
        <f t="shared" si="15"/>
        <v>167</v>
      </c>
      <c r="AZ20" s="70">
        <f t="shared" si="38"/>
        <v>53.35463259</v>
      </c>
    </row>
    <row r="21" ht="15.75" customHeight="1">
      <c r="A21" s="73">
        <v>12.0</v>
      </c>
      <c r="B21" s="74" t="s">
        <v>63</v>
      </c>
      <c r="C21" s="75">
        <f t="shared" si="28"/>
        <v>48</v>
      </c>
      <c r="D21" s="75">
        <f>SUM(D18:D20)</f>
        <v>6</v>
      </c>
      <c r="E21" s="76">
        <f t="shared" si="1"/>
        <v>12.5</v>
      </c>
      <c r="F21" s="75">
        <f t="shared" si="20"/>
        <v>37</v>
      </c>
      <c r="G21" s="75">
        <f>SUM(G18:G20)</f>
        <v>4</v>
      </c>
      <c r="H21" s="76">
        <f t="shared" si="2"/>
        <v>10.81081081</v>
      </c>
      <c r="I21" s="75">
        <f t="shared" si="21"/>
        <v>27</v>
      </c>
      <c r="J21" s="75">
        <f>SUM(J18:J20)</f>
        <v>26</v>
      </c>
      <c r="K21" s="76">
        <f t="shared" si="3"/>
        <v>96.2962963</v>
      </c>
      <c r="L21" s="75">
        <f>SUM(L18:L20)</f>
        <v>27</v>
      </c>
      <c r="M21" s="76">
        <f t="shared" si="4"/>
        <v>100</v>
      </c>
      <c r="N21" s="75">
        <f t="shared" ref="N21:O21" si="40">MAX(N18:N20)</f>
        <v>3561</v>
      </c>
      <c r="O21" s="75">
        <f t="shared" si="40"/>
        <v>3224</v>
      </c>
      <c r="P21" s="75">
        <f t="shared" si="24"/>
        <v>6785</v>
      </c>
      <c r="Q21" s="75">
        <f>SUM(Q18:Q20)</f>
        <v>3422</v>
      </c>
      <c r="R21" s="76">
        <f t="shared" si="6"/>
        <v>96.09660208</v>
      </c>
      <c r="S21" s="75">
        <f>SUM(S18:S20)</f>
        <v>3211</v>
      </c>
      <c r="T21" s="76">
        <f t="shared" si="7"/>
        <v>99.59677419</v>
      </c>
      <c r="U21" s="75">
        <f t="shared" si="8"/>
        <v>6633</v>
      </c>
      <c r="V21" s="76">
        <f t="shared" si="9"/>
        <v>97.75976419</v>
      </c>
      <c r="W21" s="75">
        <f t="shared" ref="W21:X21" si="41">SUM(W18:W20)</f>
        <v>996</v>
      </c>
      <c r="X21" s="75">
        <f t="shared" si="41"/>
        <v>913</v>
      </c>
      <c r="Y21" s="75">
        <f t="shared" ref="Y21:Y25" si="44">W21+X21</f>
        <v>1909</v>
      </c>
      <c r="Z21" s="75">
        <f>SUM(Z18:Z20)</f>
        <v>342</v>
      </c>
      <c r="AA21" s="76">
        <f t="shared" si="29"/>
        <v>34.3373494</v>
      </c>
      <c r="AB21" s="75">
        <f>SUM(AB18:AB20)</f>
        <v>369</v>
      </c>
      <c r="AC21" s="76">
        <f t="shared" si="30"/>
        <v>40.4162103</v>
      </c>
      <c r="AD21" s="75">
        <f t="shared" si="11"/>
        <v>711</v>
      </c>
      <c r="AE21" s="76">
        <f t="shared" si="31"/>
        <v>37.2446307</v>
      </c>
      <c r="AF21" s="75">
        <f t="shared" si="39"/>
        <v>11</v>
      </c>
      <c r="AG21" s="75">
        <f>SUM(AG18:AG20)</f>
        <v>9</v>
      </c>
      <c r="AH21" s="76">
        <f t="shared" si="32"/>
        <v>81.81818182</v>
      </c>
      <c r="AI21" s="75">
        <f t="shared" ref="AI21:AJ21" si="42">MAX(AI18:AI20)</f>
        <v>1951</v>
      </c>
      <c r="AJ21" s="75">
        <f t="shared" si="42"/>
        <v>1857</v>
      </c>
      <c r="AK21" s="75">
        <f t="shared" si="12"/>
        <v>3808</v>
      </c>
      <c r="AL21" s="75">
        <f>SUM(AL18:AL20)</f>
        <v>1401</v>
      </c>
      <c r="AM21" s="76">
        <f t="shared" si="33"/>
        <v>71.80932855</v>
      </c>
      <c r="AN21" s="75">
        <f>SUM(AN18:AN20)</f>
        <v>1525</v>
      </c>
      <c r="AO21" s="76">
        <f t="shared" si="34"/>
        <v>82.12170167</v>
      </c>
      <c r="AP21" s="75">
        <f t="shared" si="13"/>
        <v>2926</v>
      </c>
      <c r="AQ21" s="76">
        <f t="shared" si="35"/>
        <v>76.83823529</v>
      </c>
      <c r="AR21" s="75">
        <f t="shared" ref="AR21:AS21" si="43">SUM(AR18:AR20)</f>
        <v>405</v>
      </c>
      <c r="AS21" s="75">
        <f t="shared" si="43"/>
        <v>417</v>
      </c>
      <c r="AT21" s="75">
        <f t="shared" si="14"/>
        <v>822</v>
      </c>
      <c r="AU21" s="75">
        <f>SUM(AU18:AU20)</f>
        <v>219</v>
      </c>
      <c r="AV21" s="76">
        <f t="shared" si="36"/>
        <v>54.07407407</v>
      </c>
      <c r="AW21" s="75">
        <f>SUM(AW18:AW20)</f>
        <v>219</v>
      </c>
      <c r="AX21" s="76">
        <f t="shared" si="37"/>
        <v>52.51798561</v>
      </c>
      <c r="AY21" s="75">
        <f t="shared" si="15"/>
        <v>438</v>
      </c>
      <c r="AZ21" s="76">
        <f t="shared" si="38"/>
        <v>53.28467153</v>
      </c>
    </row>
    <row r="22" ht="15.75" customHeight="1">
      <c r="A22" s="67">
        <v>13.0</v>
      </c>
      <c r="B22" s="72" t="s">
        <v>64</v>
      </c>
      <c r="C22" s="71">
        <f t="shared" si="28"/>
        <v>48</v>
      </c>
      <c r="D22" s="69">
        <v>5.0</v>
      </c>
      <c r="E22" s="70">
        <f t="shared" si="1"/>
        <v>10.41666667</v>
      </c>
      <c r="F22" s="71">
        <f t="shared" si="20"/>
        <v>37</v>
      </c>
      <c r="G22" s="69">
        <v>1.0</v>
      </c>
      <c r="H22" s="70">
        <f t="shared" si="2"/>
        <v>2.702702703</v>
      </c>
      <c r="I22" s="71">
        <f t="shared" si="21"/>
        <v>27</v>
      </c>
      <c r="J22" s="69"/>
      <c r="K22" s="70">
        <f t="shared" si="3"/>
        <v>0</v>
      </c>
      <c r="L22" s="69">
        <v>0.0</v>
      </c>
      <c r="M22" s="70">
        <f t="shared" si="4"/>
        <v>0</v>
      </c>
      <c r="N22" s="69">
        <v>3561.0</v>
      </c>
      <c r="O22" s="69">
        <v>3224.0</v>
      </c>
      <c r="P22" s="71">
        <f t="shared" si="24"/>
        <v>6785</v>
      </c>
      <c r="Q22" s="69">
        <v>0.0</v>
      </c>
      <c r="R22" s="70">
        <f t="shared" si="6"/>
        <v>0</v>
      </c>
      <c r="S22" s="69">
        <v>0.0</v>
      </c>
      <c r="T22" s="70">
        <f t="shared" si="7"/>
        <v>0</v>
      </c>
      <c r="U22" s="71">
        <f t="shared" si="8"/>
        <v>0</v>
      </c>
      <c r="V22" s="70">
        <f t="shared" si="9"/>
        <v>0</v>
      </c>
      <c r="W22" s="69">
        <v>0.0</v>
      </c>
      <c r="X22" s="69">
        <v>0.0</v>
      </c>
      <c r="Y22" s="71">
        <f t="shared" si="44"/>
        <v>0</v>
      </c>
      <c r="Z22" s="69">
        <v>0.0</v>
      </c>
      <c r="AA22" s="70">
        <v>0.0</v>
      </c>
      <c r="AB22" s="69">
        <v>0.0</v>
      </c>
      <c r="AC22" s="70">
        <v>0.0</v>
      </c>
      <c r="AD22" s="71">
        <f t="shared" si="11"/>
        <v>0</v>
      </c>
      <c r="AE22" s="70">
        <v>0.0</v>
      </c>
      <c r="AF22" s="71">
        <f t="shared" si="39"/>
        <v>11</v>
      </c>
      <c r="AG22" s="69">
        <v>2.0</v>
      </c>
      <c r="AH22" s="70">
        <f t="shared" si="32"/>
        <v>18.18181818</v>
      </c>
      <c r="AI22" s="69">
        <v>1951.0</v>
      </c>
      <c r="AJ22" s="69">
        <v>1857.0</v>
      </c>
      <c r="AK22" s="71">
        <f t="shared" si="12"/>
        <v>3808</v>
      </c>
      <c r="AL22" s="69">
        <v>230.0</v>
      </c>
      <c r="AM22" s="70">
        <f t="shared" si="33"/>
        <v>11.78882624</v>
      </c>
      <c r="AN22" s="69">
        <v>321.0</v>
      </c>
      <c r="AO22" s="70">
        <f t="shared" si="34"/>
        <v>17.28594507</v>
      </c>
      <c r="AP22" s="71">
        <f t="shared" si="13"/>
        <v>551</v>
      </c>
      <c r="AQ22" s="70">
        <f t="shared" si="35"/>
        <v>14.46953782</v>
      </c>
      <c r="AR22" s="69">
        <v>56.0</v>
      </c>
      <c r="AS22" s="69">
        <v>63.0</v>
      </c>
      <c r="AT22" s="71">
        <f t="shared" si="14"/>
        <v>119</v>
      </c>
      <c r="AU22" s="69">
        <v>34.0</v>
      </c>
      <c r="AV22" s="70">
        <f t="shared" si="36"/>
        <v>60.71428571</v>
      </c>
      <c r="AW22" s="69">
        <v>23.0</v>
      </c>
      <c r="AX22" s="70">
        <f t="shared" si="37"/>
        <v>36.50793651</v>
      </c>
      <c r="AY22" s="71">
        <f t="shared" si="15"/>
        <v>57</v>
      </c>
      <c r="AZ22" s="70">
        <f t="shared" si="38"/>
        <v>47.89915966</v>
      </c>
    </row>
    <row r="23" ht="15.75" customHeight="1">
      <c r="A23" s="67">
        <v>14.0</v>
      </c>
      <c r="B23" s="72" t="s">
        <v>65</v>
      </c>
      <c r="C23" s="71">
        <f t="shared" si="28"/>
        <v>48</v>
      </c>
      <c r="D23" s="69">
        <v>4.0</v>
      </c>
      <c r="E23" s="70">
        <f t="shared" si="1"/>
        <v>8.333333333</v>
      </c>
      <c r="F23" s="71">
        <f t="shared" si="20"/>
        <v>37</v>
      </c>
      <c r="G23" s="69">
        <v>1.0</v>
      </c>
      <c r="H23" s="70">
        <f t="shared" si="2"/>
        <v>2.702702703</v>
      </c>
      <c r="I23" s="71">
        <f t="shared" si="21"/>
        <v>27</v>
      </c>
      <c r="J23" s="69">
        <v>0.0</v>
      </c>
      <c r="K23" s="70">
        <f t="shared" si="3"/>
        <v>0</v>
      </c>
      <c r="L23" s="69">
        <v>0.0</v>
      </c>
      <c r="M23" s="70">
        <f t="shared" si="4"/>
        <v>0</v>
      </c>
      <c r="N23" s="69">
        <v>3561.0</v>
      </c>
      <c r="O23" s="69">
        <v>3224.0</v>
      </c>
      <c r="P23" s="71">
        <f t="shared" si="24"/>
        <v>6785</v>
      </c>
      <c r="Q23" s="69">
        <v>0.0</v>
      </c>
      <c r="R23" s="70">
        <f t="shared" si="6"/>
        <v>0</v>
      </c>
      <c r="S23" s="69">
        <v>0.0</v>
      </c>
      <c r="T23" s="70">
        <f t="shared" si="7"/>
        <v>0</v>
      </c>
      <c r="U23" s="71">
        <f t="shared" si="8"/>
        <v>0</v>
      </c>
      <c r="V23" s="70">
        <f t="shared" si="9"/>
        <v>0</v>
      </c>
      <c r="W23" s="69">
        <v>0.0</v>
      </c>
      <c r="X23" s="69">
        <v>0.0</v>
      </c>
      <c r="Y23" s="71">
        <f t="shared" si="44"/>
        <v>0</v>
      </c>
      <c r="Z23" s="69">
        <v>0.0</v>
      </c>
      <c r="AA23" s="70">
        <v>0.0</v>
      </c>
      <c r="AB23" s="69">
        <v>0.0</v>
      </c>
      <c r="AC23" s="70">
        <v>0.0</v>
      </c>
      <c r="AD23" s="71">
        <f t="shared" si="11"/>
        <v>0</v>
      </c>
      <c r="AE23" s="70">
        <v>0.0</v>
      </c>
      <c r="AF23" s="71">
        <f t="shared" si="39"/>
        <v>11</v>
      </c>
      <c r="AG23" s="69">
        <v>0.0</v>
      </c>
      <c r="AH23" s="70">
        <f t="shared" si="32"/>
        <v>0</v>
      </c>
      <c r="AI23" s="69">
        <v>1951.0</v>
      </c>
      <c r="AJ23" s="69">
        <v>1857.0</v>
      </c>
      <c r="AK23" s="71">
        <f t="shared" si="12"/>
        <v>3808</v>
      </c>
      <c r="AL23" s="69"/>
      <c r="AM23" s="70">
        <f t="shared" si="33"/>
        <v>0</v>
      </c>
      <c r="AN23" s="69">
        <v>0.0</v>
      </c>
      <c r="AO23" s="70">
        <f t="shared" si="34"/>
        <v>0</v>
      </c>
      <c r="AP23" s="71">
        <f t="shared" si="13"/>
        <v>0</v>
      </c>
      <c r="AQ23" s="70">
        <f t="shared" si="35"/>
        <v>0</v>
      </c>
      <c r="AR23" s="69">
        <v>0.0</v>
      </c>
      <c r="AS23" s="69">
        <v>0.0</v>
      </c>
      <c r="AT23" s="71">
        <f t="shared" si="14"/>
        <v>0</v>
      </c>
      <c r="AU23" s="69">
        <v>0.0</v>
      </c>
      <c r="AV23" s="70">
        <v>0.0</v>
      </c>
      <c r="AW23" s="69">
        <v>0.0</v>
      </c>
      <c r="AX23" s="70">
        <v>0.0</v>
      </c>
      <c r="AY23" s="71">
        <f t="shared" si="15"/>
        <v>0</v>
      </c>
      <c r="AZ23" s="70">
        <v>0.0</v>
      </c>
    </row>
    <row r="24" ht="15.75" customHeight="1">
      <c r="A24" s="67">
        <v>15.0</v>
      </c>
      <c r="B24" s="72" t="s">
        <v>66</v>
      </c>
      <c r="C24" s="71">
        <f t="shared" si="28"/>
        <v>48</v>
      </c>
      <c r="D24" s="69">
        <v>8.0</v>
      </c>
      <c r="E24" s="70">
        <f t="shared" si="1"/>
        <v>16.66666667</v>
      </c>
      <c r="F24" s="71">
        <f t="shared" si="20"/>
        <v>37</v>
      </c>
      <c r="G24" s="69">
        <v>1.0</v>
      </c>
      <c r="H24" s="70">
        <f t="shared" si="2"/>
        <v>2.702702703</v>
      </c>
      <c r="I24" s="71">
        <f t="shared" si="21"/>
        <v>27</v>
      </c>
      <c r="J24" s="69">
        <v>0.0</v>
      </c>
      <c r="K24" s="70">
        <f t="shared" si="3"/>
        <v>0</v>
      </c>
      <c r="L24" s="69">
        <v>0.0</v>
      </c>
      <c r="M24" s="70">
        <f t="shared" si="4"/>
        <v>0</v>
      </c>
      <c r="N24" s="69">
        <v>3561.0</v>
      </c>
      <c r="O24" s="69">
        <v>3224.0</v>
      </c>
      <c r="P24" s="71">
        <f t="shared" si="24"/>
        <v>6785</v>
      </c>
      <c r="Q24" s="69">
        <v>0.0</v>
      </c>
      <c r="R24" s="70">
        <f t="shared" si="6"/>
        <v>0</v>
      </c>
      <c r="S24" s="69">
        <v>0.0</v>
      </c>
      <c r="T24" s="70">
        <f t="shared" si="7"/>
        <v>0</v>
      </c>
      <c r="U24" s="71">
        <f t="shared" si="8"/>
        <v>0</v>
      </c>
      <c r="V24" s="70">
        <f t="shared" si="9"/>
        <v>0</v>
      </c>
      <c r="W24" s="69">
        <v>0.0</v>
      </c>
      <c r="X24" s="69">
        <v>0.0</v>
      </c>
      <c r="Y24" s="71">
        <f t="shared" si="44"/>
        <v>0</v>
      </c>
      <c r="Z24" s="69">
        <v>0.0</v>
      </c>
      <c r="AA24" s="70">
        <v>0.0</v>
      </c>
      <c r="AB24" s="69">
        <v>0.0</v>
      </c>
      <c r="AC24" s="70">
        <v>0.0</v>
      </c>
      <c r="AD24" s="71">
        <f t="shared" si="11"/>
        <v>0</v>
      </c>
      <c r="AE24" s="70">
        <v>0.0</v>
      </c>
      <c r="AF24" s="71">
        <f t="shared" si="39"/>
        <v>11</v>
      </c>
      <c r="AG24" s="69">
        <v>0.0</v>
      </c>
      <c r="AH24" s="70">
        <f t="shared" si="32"/>
        <v>0</v>
      </c>
      <c r="AI24" s="69">
        <v>1951.0</v>
      </c>
      <c r="AJ24" s="69">
        <v>1857.0</v>
      </c>
      <c r="AK24" s="71">
        <f t="shared" si="12"/>
        <v>3808</v>
      </c>
      <c r="AL24" s="69"/>
      <c r="AM24" s="70">
        <f t="shared" si="33"/>
        <v>0</v>
      </c>
      <c r="AN24" s="69">
        <v>0.0</v>
      </c>
      <c r="AO24" s="70">
        <f t="shared" si="34"/>
        <v>0</v>
      </c>
      <c r="AP24" s="71">
        <f t="shared" si="13"/>
        <v>0</v>
      </c>
      <c r="AQ24" s="70">
        <f t="shared" si="35"/>
        <v>0</v>
      </c>
      <c r="AR24" s="69">
        <v>0.0</v>
      </c>
      <c r="AS24" s="69">
        <v>0.0</v>
      </c>
      <c r="AT24" s="71">
        <f t="shared" si="14"/>
        <v>0</v>
      </c>
      <c r="AU24" s="69">
        <v>0.0</v>
      </c>
      <c r="AV24" s="70">
        <v>0.0</v>
      </c>
      <c r="AW24" s="69">
        <v>0.0</v>
      </c>
      <c r="AX24" s="70">
        <v>0.0</v>
      </c>
      <c r="AY24" s="71">
        <f t="shared" si="15"/>
        <v>0</v>
      </c>
      <c r="AZ24" s="70">
        <v>0.0</v>
      </c>
    </row>
    <row r="25" ht="15.75" customHeight="1">
      <c r="A25" s="79">
        <v>16.0</v>
      </c>
      <c r="B25" s="80" t="s">
        <v>67</v>
      </c>
      <c r="C25" s="75">
        <f t="shared" si="28"/>
        <v>48</v>
      </c>
      <c r="D25" s="75">
        <f>SUM(D22:D24)</f>
        <v>17</v>
      </c>
      <c r="E25" s="76">
        <f t="shared" si="1"/>
        <v>35.41666667</v>
      </c>
      <c r="F25" s="75">
        <f t="shared" si="20"/>
        <v>37</v>
      </c>
      <c r="G25" s="75">
        <f>SUM(G22:G24)</f>
        <v>3</v>
      </c>
      <c r="H25" s="76">
        <f t="shared" si="2"/>
        <v>8.108108108</v>
      </c>
      <c r="I25" s="75">
        <f t="shared" si="21"/>
        <v>27</v>
      </c>
      <c r="J25" s="75">
        <f>SUM(J22:J24)</f>
        <v>0</v>
      </c>
      <c r="K25" s="76">
        <f t="shared" si="3"/>
        <v>0</v>
      </c>
      <c r="L25" s="75">
        <f>SUM(L22:L24)</f>
        <v>0</v>
      </c>
      <c r="M25" s="76">
        <f t="shared" si="4"/>
        <v>0</v>
      </c>
      <c r="N25" s="75">
        <f t="shared" ref="N25:O25" si="45">MAX(N22:N24)</f>
        <v>3561</v>
      </c>
      <c r="O25" s="75">
        <f t="shared" si="45"/>
        <v>3224</v>
      </c>
      <c r="P25" s="75">
        <f t="shared" si="24"/>
        <v>6785</v>
      </c>
      <c r="Q25" s="75">
        <f>SUM(Q22:Q24)</f>
        <v>0</v>
      </c>
      <c r="R25" s="76">
        <f t="shared" si="6"/>
        <v>0</v>
      </c>
      <c r="S25" s="75">
        <f>SUM(S22:S24)</f>
        <v>0</v>
      </c>
      <c r="T25" s="76">
        <f t="shared" si="7"/>
        <v>0</v>
      </c>
      <c r="U25" s="75">
        <f t="shared" si="8"/>
        <v>0</v>
      </c>
      <c r="V25" s="76">
        <f t="shared" si="9"/>
        <v>0</v>
      </c>
      <c r="W25" s="75">
        <f t="shared" ref="W25:X25" si="46">SUM(W22:W24)</f>
        <v>0</v>
      </c>
      <c r="X25" s="75">
        <f t="shared" si="46"/>
        <v>0</v>
      </c>
      <c r="Y25" s="75">
        <f t="shared" si="44"/>
        <v>0</v>
      </c>
      <c r="Z25" s="75">
        <f>SUM(Z22:Z24)</f>
        <v>0</v>
      </c>
      <c r="AA25" s="76">
        <v>0.0</v>
      </c>
      <c r="AB25" s="75">
        <f>SUM(AB22:AB24)</f>
        <v>0</v>
      </c>
      <c r="AC25" s="76">
        <v>0.0</v>
      </c>
      <c r="AD25" s="75">
        <f t="shared" si="11"/>
        <v>0</v>
      </c>
      <c r="AE25" s="76">
        <v>0.0</v>
      </c>
      <c r="AF25" s="75">
        <f t="shared" si="39"/>
        <v>11</v>
      </c>
      <c r="AG25" s="75">
        <f>SUM(AG22:AG24)</f>
        <v>2</v>
      </c>
      <c r="AH25" s="76">
        <f t="shared" si="32"/>
        <v>18.18181818</v>
      </c>
      <c r="AI25" s="75">
        <f t="shared" ref="AI25:AJ25" si="47">MAX(AI22:AI24)</f>
        <v>1951</v>
      </c>
      <c r="AJ25" s="75">
        <f t="shared" si="47"/>
        <v>1857</v>
      </c>
      <c r="AK25" s="75">
        <f t="shared" si="12"/>
        <v>3808</v>
      </c>
      <c r="AL25" s="75">
        <f>SUM(AL22:AL24)</f>
        <v>230</v>
      </c>
      <c r="AM25" s="76">
        <f t="shared" si="33"/>
        <v>11.78882624</v>
      </c>
      <c r="AN25" s="75">
        <f>SUM(AN22:AN24)</f>
        <v>321</v>
      </c>
      <c r="AO25" s="76">
        <f t="shared" si="34"/>
        <v>17.28594507</v>
      </c>
      <c r="AP25" s="75">
        <f t="shared" si="13"/>
        <v>551</v>
      </c>
      <c r="AQ25" s="76">
        <f t="shared" si="35"/>
        <v>14.46953782</v>
      </c>
      <c r="AR25" s="75">
        <f t="shared" ref="AR25:AS25" si="48">SUM(AR22:AR24)</f>
        <v>56</v>
      </c>
      <c r="AS25" s="75">
        <f t="shared" si="48"/>
        <v>63</v>
      </c>
      <c r="AT25" s="75">
        <f t="shared" si="14"/>
        <v>119</v>
      </c>
      <c r="AU25" s="75">
        <f>SUM(AU22:AU24)</f>
        <v>34</v>
      </c>
      <c r="AV25" s="76">
        <f t="shared" ref="AV25:AV26" si="53">AU25/AR25*100</f>
        <v>60.71428571</v>
      </c>
      <c r="AW25" s="75">
        <f>SUM(AW22:AW24)</f>
        <v>23</v>
      </c>
      <c r="AX25" s="76">
        <f t="shared" ref="AX25:AX26" si="54">AW25/AS25*100</f>
        <v>36.50793651</v>
      </c>
      <c r="AY25" s="75">
        <f t="shared" si="15"/>
        <v>57</v>
      </c>
      <c r="AZ25" s="76">
        <f t="shared" ref="AZ25:AZ26" si="55">AY25/AT25*100</f>
        <v>47.89915966</v>
      </c>
    </row>
    <row r="26" ht="15.75" customHeight="1">
      <c r="A26" s="81" t="s">
        <v>68</v>
      </c>
      <c r="B26" s="13"/>
      <c r="C26" s="82">
        <f t="shared" si="28"/>
        <v>48</v>
      </c>
      <c r="D26" s="82">
        <f>SUM(D25,D21,D17,D13)</f>
        <v>33</v>
      </c>
      <c r="E26" s="83">
        <f t="shared" si="1"/>
        <v>68.75</v>
      </c>
      <c r="F26" s="82">
        <f t="shared" si="20"/>
        <v>37</v>
      </c>
      <c r="G26" s="82">
        <f>SUM(G25,G21,G17,G13)</f>
        <v>15</v>
      </c>
      <c r="H26" s="83">
        <f t="shared" si="2"/>
        <v>40.54054054</v>
      </c>
      <c r="I26" s="82">
        <f t="shared" si="21"/>
        <v>27</v>
      </c>
      <c r="J26" s="82">
        <f>SUM(J25,J21,J17,J13)</f>
        <v>27</v>
      </c>
      <c r="K26" s="83">
        <f t="shared" si="3"/>
        <v>100</v>
      </c>
      <c r="L26" s="82">
        <f>SUM(L25,L21,L17,L13)</f>
        <v>27</v>
      </c>
      <c r="M26" s="83">
        <f t="shared" si="4"/>
        <v>100</v>
      </c>
      <c r="N26" s="82">
        <f t="shared" ref="N26:P26" si="49">MAX(N25,N21,N17,N13)</f>
        <v>3561</v>
      </c>
      <c r="O26" s="82">
        <f t="shared" si="49"/>
        <v>3224</v>
      </c>
      <c r="P26" s="82">
        <f t="shared" si="49"/>
        <v>6785</v>
      </c>
      <c r="Q26" s="82">
        <f>SUM(Q25,Q21,Q17,Q13)</f>
        <v>3422</v>
      </c>
      <c r="R26" s="83">
        <f t="shared" si="6"/>
        <v>96.09660208</v>
      </c>
      <c r="S26" s="82">
        <f>SUM(S25,S21,S17,S13)</f>
        <v>3211</v>
      </c>
      <c r="T26" s="83">
        <f t="shared" si="7"/>
        <v>99.59677419</v>
      </c>
      <c r="U26" s="82">
        <f>SUM(U25,U21,U17,U13)</f>
        <v>6633</v>
      </c>
      <c r="V26" s="83">
        <f t="shared" si="9"/>
        <v>97.75976419</v>
      </c>
      <c r="W26" s="82">
        <f t="shared" ref="W26:Z26" si="50">SUM(W25,W21,W17,W13)</f>
        <v>996</v>
      </c>
      <c r="X26" s="82">
        <f t="shared" si="50"/>
        <v>913</v>
      </c>
      <c r="Y26" s="82">
        <f t="shared" si="50"/>
        <v>1909</v>
      </c>
      <c r="Z26" s="82">
        <f t="shared" si="50"/>
        <v>342</v>
      </c>
      <c r="AA26" s="83">
        <f>Z26/W26*100</f>
        <v>34.3373494</v>
      </c>
      <c r="AB26" s="82">
        <f>SUM(AB25,AB21,AB17,AB13)</f>
        <v>369</v>
      </c>
      <c r="AC26" s="83">
        <f>AB26/X26*100</f>
        <v>40.4162103</v>
      </c>
      <c r="AD26" s="82">
        <f>SUM(AD25,AD21,AD17,AD13)</f>
        <v>711</v>
      </c>
      <c r="AE26" s="83">
        <f>AD26/Y26*100</f>
        <v>37.2446307</v>
      </c>
      <c r="AF26" s="82">
        <f t="shared" si="39"/>
        <v>11</v>
      </c>
      <c r="AG26" s="82">
        <f>SUM(AG25,AG21,AG17,AG13)</f>
        <v>11</v>
      </c>
      <c r="AH26" s="83">
        <f t="shared" si="32"/>
        <v>100</v>
      </c>
      <c r="AI26" s="82">
        <f t="shared" ref="AI26:AK26" si="51">MAX(AI25,AI21,AI17,AI13)</f>
        <v>1951</v>
      </c>
      <c r="AJ26" s="82">
        <f t="shared" si="51"/>
        <v>1857</v>
      </c>
      <c r="AK26" s="82">
        <f t="shared" si="51"/>
        <v>3808</v>
      </c>
      <c r="AL26" s="82">
        <f>SUM(AL25,AL21,AL17,AL13)</f>
        <v>1631</v>
      </c>
      <c r="AM26" s="83">
        <f t="shared" si="33"/>
        <v>83.59815479</v>
      </c>
      <c r="AN26" s="82">
        <f>SUM(AN25,AN21,AN17,AN13)</f>
        <v>1846</v>
      </c>
      <c r="AO26" s="83">
        <f t="shared" si="34"/>
        <v>99.40764674</v>
      </c>
      <c r="AP26" s="82">
        <f>SUM(AP25,AP21,AP17,AP13)</f>
        <v>3477</v>
      </c>
      <c r="AQ26" s="83">
        <f t="shared" si="35"/>
        <v>91.30777311</v>
      </c>
      <c r="AR26" s="82">
        <f t="shared" ref="AR26:AU26" si="52">SUM(AR25,AR21,AR17,AR13)</f>
        <v>461</v>
      </c>
      <c r="AS26" s="82">
        <f t="shared" si="52"/>
        <v>480</v>
      </c>
      <c r="AT26" s="82">
        <f t="shared" si="52"/>
        <v>941</v>
      </c>
      <c r="AU26" s="82">
        <f t="shared" si="52"/>
        <v>253</v>
      </c>
      <c r="AV26" s="83">
        <f t="shared" si="53"/>
        <v>54.88069414</v>
      </c>
      <c r="AW26" s="82">
        <f>SUM(AW25,AW21,AW17,AW13)</f>
        <v>242</v>
      </c>
      <c r="AX26" s="83">
        <f t="shared" si="54"/>
        <v>50.41666667</v>
      </c>
      <c r="AY26" s="82">
        <f>SUM(AY25,AY21,AY17,AY13)</f>
        <v>495</v>
      </c>
      <c r="AZ26" s="83">
        <f t="shared" si="55"/>
        <v>52.60361318</v>
      </c>
    </row>
    <row r="27" ht="15.75" customHeight="1"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61">
    <mergeCell ref="T7:T8"/>
    <mergeCell ref="U7:U8"/>
    <mergeCell ref="A26:B26"/>
    <mergeCell ref="V7:V8"/>
    <mergeCell ref="W7:W8"/>
    <mergeCell ref="X7:X8"/>
    <mergeCell ref="Y7:Y8"/>
    <mergeCell ref="J5:J8"/>
    <mergeCell ref="K5:K8"/>
    <mergeCell ref="L5:L8"/>
    <mergeCell ref="M5:M8"/>
    <mergeCell ref="N5:P6"/>
    <mergeCell ref="Q5:V6"/>
    <mergeCell ref="W5:Y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N7:N8"/>
    <mergeCell ref="O7:O8"/>
    <mergeCell ref="P7:P8"/>
    <mergeCell ref="Q7:Q8"/>
    <mergeCell ref="R7:R8"/>
    <mergeCell ref="S7:S8"/>
    <mergeCell ref="Z5:AE6"/>
    <mergeCell ref="Z7:Z8"/>
    <mergeCell ref="AA7:AA8"/>
    <mergeCell ref="AB7:AB8"/>
    <mergeCell ref="AC7:AC8"/>
    <mergeCell ref="AD7:AD8"/>
    <mergeCell ref="AE7:AE8"/>
    <mergeCell ref="AW7:AW8"/>
    <mergeCell ref="AX7:AX8"/>
    <mergeCell ref="AY7:AY8"/>
    <mergeCell ref="AZ7:AZ8"/>
    <mergeCell ref="AF5:AF8"/>
    <mergeCell ref="AG5:AG8"/>
    <mergeCell ref="AH5:AH8"/>
    <mergeCell ref="AI5:AK6"/>
    <mergeCell ref="AL5:AQ6"/>
    <mergeCell ref="AR5:AT6"/>
    <mergeCell ref="AU5:AZ6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</mergeCells>
  <printOptions/>
  <pageMargins bottom="0.75" footer="0.0" header="0.0" left="0.7" right="0.7" top="0.75"/>
  <pageSetup orientation="landscape"/>
  <drawing r:id="rId1"/>
</worksheet>
</file>