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1552B155-D1FF-47D1-9D86-2EF637908023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Per Puskesmas - Rekap KTR" sheetId="25" state="hidden" r:id="rId1"/>
    <sheet name="Per Puskesmas Rekap UBM" sheetId="26" state="hidden" r:id="rId2"/>
    <sheet name="Plyn. Gilut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3" i="29" l="1"/>
  <c r="BD33" i="29"/>
  <c r="AJ33" i="29"/>
  <c r="P33" i="29"/>
  <c r="E33" i="29"/>
  <c r="D33" i="29"/>
  <c r="C33" i="29"/>
  <c r="BI32" i="29"/>
  <c r="BJ32" i="29" s="1"/>
  <c r="BG32" i="29"/>
  <c r="BF32" i="29"/>
  <c r="BE32" i="29"/>
  <c r="BD32" i="29"/>
  <c r="AZ32" i="29"/>
  <c r="AX32" i="29"/>
  <c r="AV32" i="29"/>
  <c r="AU32" i="29"/>
  <c r="AS32" i="29"/>
  <c r="AN32" i="29"/>
  <c r="AO32" i="29" s="1"/>
  <c r="AL32" i="29"/>
  <c r="AP32" i="29" s="1"/>
  <c r="AK32" i="29"/>
  <c r="AJ32" i="29"/>
  <c r="AI32" i="29"/>
  <c r="AE32" i="29"/>
  <c r="AC32" i="29"/>
  <c r="AB32" i="29"/>
  <c r="AA32" i="29"/>
  <c r="AA33" i="29" s="1"/>
  <c r="Z32" i="29"/>
  <c r="X32" i="29"/>
  <c r="V32" i="29"/>
  <c r="S32" i="29"/>
  <c r="S33" i="29" s="1"/>
  <c r="P32" i="29"/>
  <c r="M32" i="29"/>
  <c r="L32" i="29"/>
  <c r="J32" i="29"/>
  <c r="J33" i="29" s="1"/>
  <c r="K33" i="29" s="1"/>
  <c r="I32" i="29"/>
  <c r="G32" i="29"/>
  <c r="F32" i="29"/>
  <c r="H32" i="29" s="1"/>
  <c r="D32" i="29"/>
  <c r="C32" i="29"/>
  <c r="BL31" i="29"/>
  <c r="BK31" i="29"/>
  <c r="BJ31" i="29"/>
  <c r="BH31" i="29"/>
  <c r="BF31" i="29"/>
  <c r="BB31" i="29"/>
  <c r="BC31" i="29" s="1"/>
  <c r="BA31" i="29"/>
  <c r="AY31" i="29"/>
  <c r="AW31" i="29"/>
  <c r="AP31" i="29"/>
  <c r="AO31" i="29"/>
  <c r="AM31" i="29"/>
  <c r="AK31" i="29"/>
  <c r="AQ31" i="29" s="1"/>
  <c r="AG31" i="29"/>
  <c r="AH31" i="29" s="1"/>
  <c r="AF31" i="29"/>
  <c r="AD31" i="29"/>
  <c r="AB31" i="29"/>
  <c r="N31" i="29"/>
  <c r="K31" i="29"/>
  <c r="H31" i="29"/>
  <c r="BK30" i="29"/>
  <c r="BJ30" i="29"/>
  <c r="BH30" i="29"/>
  <c r="BF30" i="29"/>
  <c r="BC30" i="29"/>
  <c r="BB30" i="29"/>
  <c r="BA30" i="29"/>
  <c r="AY30" i="29"/>
  <c r="AW30" i="29"/>
  <c r="AP30" i="29"/>
  <c r="AQ30" i="29" s="1"/>
  <c r="AO30" i="29"/>
  <c r="AM30" i="29"/>
  <c r="AK30" i="29"/>
  <c r="AG30" i="29"/>
  <c r="AF30" i="29"/>
  <c r="AD30" i="29"/>
  <c r="AB30" i="29"/>
  <c r="N30" i="29"/>
  <c r="K30" i="29"/>
  <c r="H30" i="29"/>
  <c r="BK29" i="29"/>
  <c r="BL29" i="29" s="1"/>
  <c r="BJ29" i="29"/>
  <c r="BH29" i="29"/>
  <c r="BF29" i="29"/>
  <c r="BB29" i="29"/>
  <c r="BA29" i="29"/>
  <c r="AY29" i="29"/>
  <c r="AW29" i="29"/>
  <c r="AP29" i="29"/>
  <c r="AQ29" i="29" s="1"/>
  <c r="AO29" i="29"/>
  <c r="AM29" i="29"/>
  <c r="AK29" i="29"/>
  <c r="AH29" i="29"/>
  <c r="AG29" i="29"/>
  <c r="AF29" i="29"/>
  <c r="AD29" i="29"/>
  <c r="AB29" i="29"/>
  <c r="N29" i="29"/>
  <c r="K29" i="29"/>
  <c r="H29" i="29"/>
  <c r="BI28" i="29"/>
  <c r="BH28" i="29"/>
  <c r="BG28" i="29"/>
  <c r="BE28" i="29"/>
  <c r="BD28" i="29"/>
  <c r="BF28" i="29" s="1"/>
  <c r="BA28" i="29"/>
  <c r="AZ28" i="29"/>
  <c r="BB28" i="29" s="1"/>
  <c r="BC28" i="29" s="1"/>
  <c r="AY28" i="29"/>
  <c r="AX28" i="29"/>
  <c r="AV28" i="29"/>
  <c r="AU28" i="29"/>
  <c r="AW28" i="29" s="1"/>
  <c r="AS28" i="29"/>
  <c r="AS33" i="29" s="1"/>
  <c r="AN28" i="29"/>
  <c r="AN33" i="29" s="1"/>
  <c r="AO33" i="29" s="1"/>
  <c r="AL28" i="29"/>
  <c r="AJ28" i="29"/>
  <c r="AI28" i="29"/>
  <c r="AF28" i="29"/>
  <c r="AE28" i="29"/>
  <c r="AD28" i="29"/>
  <c r="AC28" i="29"/>
  <c r="AA28" i="29"/>
  <c r="AB28" i="29" s="1"/>
  <c r="Z28" i="29"/>
  <c r="X28" i="29"/>
  <c r="V28" i="29"/>
  <c r="S28" i="29"/>
  <c r="P28" i="29"/>
  <c r="N28" i="29"/>
  <c r="M28" i="29"/>
  <c r="L28" i="29"/>
  <c r="K28" i="29"/>
  <c r="J28" i="29"/>
  <c r="I28" i="29"/>
  <c r="G28" i="29"/>
  <c r="G33" i="29" s="1"/>
  <c r="F28" i="29"/>
  <c r="E28" i="29"/>
  <c r="E29" i="29" s="1"/>
  <c r="E30" i="29" s="1"/>
  <c r="E31" i="29" s="1"/>
  <c r="E32" i="29" s="1"/>
  <c r="D28" i="29"/>
  <c r="C28" i="29"/>
  <c r="BK27" i="29"/>
  <c r="BJ27" i="29"/>
  <c r="BH27" i="29"/>
  <c r="BF27" i="29"/>
  <c r="BC27" i="29"/>
  <c r="BB27" i="29"/>
  <c r="BA27" i="29"/>
  <c r="AY27" i="29"/>
  <c r="AW27" i="29"/>
  <c r="AQ27" i="29"/>
  <c r="AP27" i="29"/>
  <c r="AO27" i="29"/>
  <c r="AM27" i="29"/>
  <c r="AK27" i="29"/>
  <c r="AG27" i="29"/>
  <c r="AF27" i="29"/>
  <c r="AD27" i="29"/>
  <c r="AB27" i="29"/>
  <c r="N27" i="29"/>
  <c r="K27" i="29"/>
  <c r="H27" i="29"/>
  <c r="BK26" i="29"/>
  <c r="BL26" i="29" s="1"/>
  <c r="BJ26" i="29"/>
  <c r="BH26" i="29"/>
  <c r="BF26" i="29"/>
  <c r="BB26" i="29"/>
  <c r="BC26" i="29" s="1"/>
  <c r="BA26" i="29"/>
  <c r="AY26" i="29"/>
  <c r="AW26" i="29"/>
  <c r="AQ26" i="29"/>
  <c r="AP26" i="29"/>
  <c r="AO26" i="29"/>
  <c r="AM26" i="29"/>
  <c r="AK26" i="29"/>
  <c r="AG26" i="29"/>
  <c r="AH26" i="29" s="1"/>
  <c r="AF26" i="29"/>
  <c r="AD26" i="29"/>
  <c r="AB26" i="29"/>
  <c r="N26" i="29"/>
  <c r="K26" i="29"/>
  <c r="H26" i="29"/>
  <c r="BK25" i="29"/>
  <c r="BJ25" i="29"/>
  <c r="BH25" i="29"/>
  <c r="BF25" i="29"/>
  <c r="BC25" i="29"/>
  <c r="BB25" i="29"/>
  <c r="BA25" i="29"/>
  <c r="AY25" i="29"/>
  <c r="AW25" i="29"/>
  <c r="AQ25" i="29"/>
  <c r="AP25" i="29"/>
  <c r="AO25" i="29"/>
  <c r="AM25" i="29"/>
  <c r="AK25" i="29"/>
  <c r="AG25" i="29"/>
  <c r="AF25" i="29"/>
  <c r="AD25" i="29"/>
  <c r="AB25" i="29"/>
  <c r="N25" i="29"/>
  <c r="K25" i="29"/>
  <c r="H25" i="29"/>
  <c r="BI24" i="29"/>
  <c r="BH24" i="29"/>
  <c r="BG24" i="29"/>
  <c r="BE24" i="29"/>
  <c r="BD24" i="29"/>
  <c r="AZ24" i="29"/>
  <c r="AX24" i="29"/>
  <c r="AY24" i="29" s="1"/>
  <c r="AW24" i="29"/>
  <c r="AV24" i="29"/>
  <c r="AV33" i="29" s="1"/>
  <c r="AU24" i="29"/>
  <c r="AS24" i="29"/>
  <c r="AO24" i="29"/>
  <c r="AN24" i="29"/>
  <c r="AL24" i="29"/>
  <c r="AK24" i="29"/>
  <c r="AJ24" i="29"/>
  <c r="AI24" i="29"/>
  <c r="AE24" i="29"/>
  <c r="AF24" i="29" s="1"/>
  <c r="AC24" i="29"/>
  <c r="AB24" i="29"/>
  <c r="AA24" i="29"/>
  <c r="Z24" i="29"/>
  <c r="X24" i="29"/>
  <c r="V24" i="29"/>
  <c r="S24" i="29"/>
  <c r="P24" i="29"/>
  <c r="M24" i="29"/>
  <c r="N24" i="29" s="1"/>
  <c r="L24" i="29"/>
  <c r="J24" i="29"/>
  <c r="K24" i="29" s="1"/>
  <c r="I24" i="29"/>
  <c r="I33" i="29" s="1"/>
  <c r="G24" i="29"/>
  <c r="F24" i="29"/>
  <c r="H24" i="29" s="1"/>
  <c r="E24" i="29"/>
  <c r="E25" i="29" s="1"/>
  <c r="E26" i="29" s="1"/>
  <c r="E27" i="29" s="1"/>
  <c r="D24" i="29"/>
  <c r="C24" i="29"/>
  <c r="BK23" i="29"/>
  <c r="BL23" i="29" s="1"/>
  <c r="BJ23" i="29"/>
  <c r="BH23" i="29"/>
  <c r="BF23" i="29"/>
  <c r="BC23" i="29"/>
  <c r="BB23" i="29"/>
  <c r="BA23" i="29"/>
  <c r="AY23" i="29"/>
  <c r="AW23" i="29"/>
  <c r="AP23" i="29"/>
  <c r="AQ23" i="29" s="1"/>
  <c r="AO23" i="29"/>
  <c r="AM23" i="29"/>
  <c r="AK23" i="29"/>
  <c r="AG23" i="29"/>
  <c r="AF23" i="29"/>
  <c r="AD23" i="29"/>
  <c r="AB23" i="29"/>
  <c r="AH23" i="29" s="1"/>
  <c r="N23" i="29"/>
  <c r="K23" i="29"/>
  <c r="H23" i="29"/>
  <c r="BK22" i="29"/>
  <c r="BL22" i="29" s="1"/>
  <c r="BJ22" i="29"/>
  <c r="BH22" i="29"/>
  <c r="BF22" i="29"/>
  <c r="BB22" i="29"/>
  <c r="BA22" i="29"/>
  <c r="AY22" i="29"/>
  <c r="AW22" i="29"/>
  <c r="BC22" i="29" s="1"/>
  <c r="AP22" i="29"/>
  <c r="AQ22" i="29" s="1"/>
  <c r="AO22" i="29"/>
  <c r="AM22" i="29"/>
  <c r="AK22" i="29"/>
  <c r="AH22" i="29"/>
  <c r="AG22" i="29"/>
  <c r="AF22" i="29"/>
  <c r="AD22" i="29"/>
  <c r="AB22" i="29"/>
  <c r="N22" i="29"/>
  <c r="K22" i="29"/>
  <c r="H22" i="29"/>
  <c r="BL21" i="29"/>
  <c r="BK21" i="29"/>
  <c r="BJ21" i="29"/>
  <c r="BH21" i="29"/>
  <c r="BF21" i="29"/>
  <c r="BB21" i="29"/>
  <c r="BA21" i="29"/>
  <c r="AY21" i="29"/>
  <c r="AW21" i="29"/>
  <c r="AQ21" i="29"/>
  <c r="AP21" i="29"/>
  <c r="AO21" i="29"/>
  <c r="AM21" i="29"/>
  <c r="AK21" i="29"/>
  <c r="AH21" i="29"/>
  <c r="AG21" i="29"/>
  <c r="AF21" i="29"/>
  <c r="AD21" i="29"/>
  <c r="AB21" i="29"/>
  <c r="R21" i="29"/>
  <c r="T21" i="29" s="1"/>
  <c r="N21" i="29"/>
  <c r="K21" i="29"/>
  <c r="H21" i="29"/>
  <c r="BK20" i="29"/>
  <c r="BL20" i="29" s="1"/>
  <c r="BJ20" i="29"/>
  <c r="BI20" i="29"/>
  <c r="BG20" i="29"/>
  <c r="BH20" i="29" s="1"/>
  <c r="BF20" i="29"/>
  <c r="BE20" i="29"/>
  <c r="BD20" i="29"/>
  <c r="BA20" i="29"/>
  <c r="AZ20" i="29"/>
  <c r="AX20" i="29"/>
  <c r="AY20" i="29" s="1"/>
  <c r="AW20" i="29"/>
  <c r="AV20" i="29"/>
  <c r="AU20" i="29"/>
  <c r="AS20" i="29"/>
  <c r="AO20" i="29"/>
  <c r="AN20" i="29"/>
  <c r="AP20" i="29" s="1"/>
  <c r="AQ20" i="29" s="1"/>
  <c r="AM20" i="29"/>
  <c r="AL20" i="29"/>
  <c r="AK20" i="29"/>
  <c r="AJ20" i="29"/>
  <c r="AI20" i="29"/>
  <c r="AG20" i="29"/>
  <c r="AF20" i="29"/>
  <c r="AE20" i="29"/>
  <c r="AC20" i="29"/>
  <c r="AA20" i="29"/>
  <c r="Z20" i="29"/>
  <c r="AB20" i="29" s="1"/>
  <c r="X20" i="29"/>
  <c r="V20" i="29"/>
  <c r="S20" i="29"/>
  <c r="R20" i="29"/>
  <c r="P20" i="29"/>
  <c r="N20" i="29"/>
  <c r="M20" i="29"/>
  <c r="L20" i="29"/>
  <c r="J20" i="29"/>
  <c r="I20" i="29"/>
  <c r="G20" i="29"/>
  <c r="H20" i="29" s="1"/>
  <c r="F20" i="29"/>
  <c r="E20" i="29"/>
  <c r="E21" i="29" s="1"/>
  <c r="E22" i="29" s="1"/>
  <c r="E23" i="29" s="1"/>
  <c r="D20" i="29"/>
  <c r="C20" i="29"/>
  <c r="BK19" i="29"/>
  <c r="BJ19" i="29"/>
  <c r="BH19" i="29"/>
  <c r="BF19" i="29"/>
  <c r="BC19" i="29"/>
  <c r="BB19" i="29"/>
  <c r="BA19" i="29"/>
  <c r="AY19" i="29"/>
  <c r="AW19" i="29"/>
  <c r="AT19" i="29"/>
  <c r="AR19" i="29"/>
  <c r="AR20" i="29" s="1"/>
  <c r="AR21" i="29" s="1"/>
  <c r="AQ19" i="29"/>
  <c r="AP19" i="29"/>
  <c r="AO19" i="29"/>
  <c r="AM19" i="29"/>
  <c r="AK19" i="29"/>
  <c r="AG19" i="29"/>
  <c r="AF19" i="29"/>
  <c r="AD19" i="29"/>
  <c r="AB19" i="29"/>
  <c r="R19" i="29"/>
  <c r="T19" i="29" s="1"/>
  <c r="O19" i="29"/>
  <c r="Q19" i="29" s="1"/>
  <c r="N19" i="29"/>
  <c r="K19" i="29"/>
  <c r="H19" i="29"/>
  <c r="E19" i="29"/>
  <c r="BK18" i="29"/>
  <c r="BL18" i="29" s="1"/>
  <c r="BJ18" i="29"/>
  <c r="BH18" i="29"/>
  <c r="BF18" i="29"/>
  <c r="BB18" i="29"/>
  <c r="BC18" i="29" s="1"/>
  <c r="BA18" i="29"/>
  <c r="AY18" i="29"/>
  <c r="AW18" i="29"/>
  <c r="AR18" i="29"/>
  <c r="AT18" i="29" s="1"/>
  <c r="AQ18" i="29"/>
  <c r="AP18" i="29"/>
  <c r="AO18" i="29"/>
  <c r="AM18" i="29"/>
  <c r="AK18" i="29"/>
  <c r="AG18" i="29"/>
  <c r="AH18" i="29" s="1"/>
  <c r="AF18" i="29"/>
  <c r="AD18" i="29"/>
  <c r="AB18" i="29"/>
  <c r="U18" i="29"/>
  <c r="T18" i="29"/>
  <c r="R18" i="29"/>
  <c r="O18" i="29"/>
  <c r="Q18" i="29" s="1"/>
  <c r="N18" i="29"/>
  <c r="K18" i="29"/>
  <c r="H18" i="29"/>
  <c r="BL17" i="29"/>
  <c r="BK17" i="29"/>
  <c r="BJ17" i="29"/>
  <c r="BH17" i="29"/>
  <c r="BF17" i="29"/>
  <c r="BB17" i="29"/>
  <c r="BC17" i="29" s="1"/>
  <c r="BA17" i="29"/>
  <c r="AY17" i="29"/>
  <c r="AW17" i="29"/>
  <c r="AT17" i="29"/>
  <c r="AP17" i="29"/>
  <c r="AQ17" i="29" s="1"/>
  <c r="AO17" i="29"/>
  <c r="AM17" i="29"/>
  <c r="AK17" i="29"/>
  <c r="AH17" i="29"/>
  <c r="AG17" i="29"/>
  <c r="AF17" i="29"/>
  <c r="AD17" i="29"/>
  <c r="AB17" i="29"/>
  <c r="Y17" i="29"/>
  <c r="W17" i="29"/>
  <c r="T17" i="29"/>
  <c r="Q17" i="29"/>
  <c r="N17" i="29"/>
  <c r="K17" i="29"/>
  <c r="H17" i="29"/>
  <c r="I25" i="26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D13" i="26" l="1"/>
  <c r="G15" i="26"/>
  <c r="D21" i="26"/>
  <c r="D23" i="26"/>
  <c r="G11" i="26"/>
  <c r="J21" i="26"/>
  <c r="D25" i="26"/>
  <c r="G23" i="26"/>
  <c r="J10" i="26"/>
  <c r="D14" i="26"/>
  <c r="D22" i="26"/>
  <c r="J25" i="26"/>
  <c r="D11" i="26"/>
  <c r="J22" i="26"/>
  <c r="G17" i="26"/>
  <c r="J15" i="26"/>
  <c r="D20" i="26"/>
  <c r="G24" i="26"/>
  <c r="J12" i="26"/>
  <c r="J13" i="26"/>
  <c r="J14" i="26"/>
  <c r="D18" i="26"/>
  <c r="G20" i="26"/>
  <c r="G21" i="26"/>
  <c r="D17" i="26"/>
  <c r="G19" i="26"/>
  <c r="D15" i="26"/>
  <c r="D12" i="26"/>
  <c r="J18" i="26"/>
  <c r="D24" i="26"/>
  <c r="G25" i="26"/>
  <c r="J11" i="26"/>
  <c r="J16" i="26"/>
  <c r="J17" i="26"/>
  <c r="J19" i="26"/>
  <c r="J23" i="26"/>
  <c r="D10" i="26"/>
  <c r="G10" i="26"/>
  <c r="G13" i="26"/>
  <c r="G14" i="26"/>
  <c r="D16" i="26"/>
  <c r="G18" i="26"/>
  <c r="G22" i="26"/>
  <c r="G16" i="26"/>
  <c r="N32" i="29"/>
  <c r="M33" i="29"/>
  <c r="AW32" i="29"/>
  <c r="AW33" i="29" s="1"/>
  <c r="AY32" i="29"/>
  <c r="AU33" i="29"/>
  <c r="AF32" i="29"/>
  <c r="AE33" i="29"/>
  <c r="AF33" i="29" s="1"/>
  <c r="BI33" i="29"/>
  <c r="BJ33" i="29" s="1"/>
  <c r="BK28" i="29"/>
  <c r="BL28" i="29" s="1"/>
  <c r="BJ28" i="29"/>
  <c r="AP24" i="29"/>
  <c r="AQ24" i="29" s="1"/>
  <c r="AM24" i="29"/>
  <c r="H28" i="29"/>
  <c r="F33" i="29"/>
  <c r="H33" i="29" s="1"/>
  <c r="BF33" i="29"/>
  <c r="X33" i="29"/>
  <c r="AB33" i="29"/>
  <c r="BG33" i="29"/>
  <c r="BH33" i="29" s="1"/>
  <c r="BK32" i="29"/>
  <c r="BH32" i="29"/>
  <c r="G12" i="26"/>
  <c r="D19" i="26"/>
  <c r="AD20" i="29"/>
  <c r="AR22" i="29"/>
  <c r="AT21" i="29"/>
  <c r="V33" i="29"/>
  <c r="AM28" i="29"/>
  <c r="AK28" i="29"/>
  <c r="AK33" i="29" s="1"/>
  <c r="BC29" i="29"/>
  <c r="AH20" i="29"/>
  <c r="K32" i="29"/>
  <c r="AQ32" i="29"/>
  <c r="AZ33" i="29"/>
  <c r="BA33" i="29" s="1"/>
  <c r="AL33" i="29"/>
  <c r="AM32" i="29"/>
  <c r="J20" i="26"/>
  <c r="AH19" i="29"/>
  <c r="BL19" i="29"/>
  <c r="BK24" i="29"/>
  <c r="BL24" i="29" s="1"/>
  <c r="BJ24" i="29"/>
  <c r="AH25" i="29"/>
  <c r="BL25" i="29"/>
  <c r="L33" i="29"/>
  <c r="AX33" i="29"/>
  <c r="AY33" i="29" s="1"/>
  <c r="BB32" i="29"/>
  <c r="J24" i="26"/>
  <c r="Y18" i="29"/>
  <c r="U19" i="29"/>
  <c r="BB20" i="29"/>
  <c r="BC20" i="29" s="1"/>
  <c r="R22" i="29"/>
  <c r="AG24" i="29"/>
  <c r="AH24" i="29" s="1"/>
  <c r="BB24" i="29"/>
  <c r="BC24" i="29" s="1"/>
  <c r="BA24" i="29"/>
  <c r="AG32" i="29"/>
  <c r="AC33" i="29"/>
  <c r="W18" i="29"/>
  <c r="O20" i="29"/>
  <c r="O21" i="29" s="1"/>
  <c r="AT20" i="29"/>
  <c r="AD24" i="29"/>
  <c r="AD32" i="29"/>
  <c r="AH30" i="29"/>
  <c r="BL30" i="29"/>
  <c r="K20" i="29"/>
  <c r="T20" i="29"/>
  <c r="AP28" i="29"/>
  <c r="AQ28" i="29" s="1"/>
  <c r="AI33" i="29"/>
  <c r="BA32" i="29"/>
  <c r="BC21" i="29"/>
  <c r="AH27" i="29"/>
  <c r="BL27" i="29"/>
  <c r="AG28" i="29"/>
  <c r="AH28" i="29" s="1"/>
  <c r="Z33" i="29"/>
  <c r="BF24" i="29"/>
  <c r="AO28" i="29"/>
  <c r="AH32" i="29" l="1"/>
  <c r="AG33" i="29"/>
  <c r="AH33" i="29" s="1"/>
  <c r="Y19" i="29"/>
  <c r="W19" i="29"/>
  <c r="U20" i="29"/>
  <c r="AM33" i="29"/>
  <c r="BL32" i="29"/>
  <c r="BK33" i="29"/>
  <c r="BL33" i="29" s="1"/>
  <c r="Q20" i="29"/>
  <c r="O22" i="29"/>
  <c r="Q21" i="29"/>
  <c r="AP33" i="29"/>
  <c r="AQ33" i="29" s="1"/>
  <c r="AR23" i="29"/>
  <c r="AT22" i="29"/>
  <c r="N33" i="29"/>
  <c r="BB33" i="29"/>
  <c r="BC33" i="29" s="1"/>
  <c r="BC32" i="29"/>
  <c r="T22" i="29"/>
  <c r="R23" i="29"/>
  <c r="AD33" i="29"/>
  <c r="R24" i="29" l="1"/>
  <c r="T23" i="29"/>
  <c r="O23" i="29"/>
  <c r="Q22" i="29"/>
  <c r="U21" i="29"/>
  <c r="W20" i="29"/>
  <c r="Y20" i="29"/>
  <c r="AT23" i="29"/>
  <c r="AR24" i="29"/>
  <c r="AR25" i="29" l="1"/>
  <c r="AT24" i="29"/>
  <c r="Y21" i="29"/>
  <c r="W21" i="29"/>
  <c r="U22" i="29"/>
  <c r="Q23" i="29"/>
  <c r="O24" i="29"/>
  <c r="T24" i="29"/>
  <c r="R25" i="29"/>
  <c r="T25" i="29" l="1"/>
  <c r="R26" i="29"/>
  <c r="AR26" i="29"/>
  <c r="AT25" i="29"/>
  <c r="O25" i="29"/>
  <c r="Q24" i="29"/>
  <c r="Y22" i="29"/>
  <c r="U23" i="29"/>
  <c r="W22" i="29"/>
  <c r="T26" i="29" l="1"/>
  <c r="R27" i="29"/>
  <c r="AR27" i="29"/>
  <c r="AT26" i="29"/>
  <c r="W23" i="29"/>
  <c r="U24" i="29"/>
  <c r="Y23" i="29"/>
  <c r="Q25" i="29"/>
  <c r="O26" i="29"/>
  <c r="R28" i="29" l="1"/>
  <c r="T27" i="29"/>
  <c r="U25" i="29"/>
  <c r="Y24" i="29"/>
  <c r="W24" i="29"/>
  <c r="AT27" i="29"/>
  <c r="AR28" i="29"/>
  <c r="O27" i="29"/>
  <c r="Q26" i="29"/>
  <c r="Y25" i="29" l="1"/>
  <c r="U26" i="29"/>
  <c r="W25" i="29"/>
  <c r="AR29" i="29"/>
  <c r="AT28" i="29"/>
  <c r="Q27" i="29"/>
  <c r="O28" i="29"/>
  <c r="T28" i="29"/>
  <c r="R29" i="29"/>
  <c r="R30" i="29" l="1"/>
  <c r="T29" i="29"/>
  <c r="U27" i="29"/>
  <c r="W26" i="29"/>
  <c r="Y26" i="29"/>
  <c r="O29" i="29"/>
  <c r="Q28" i="29"/>
  <c r="AT29" i="29"/>
  <c r="AR30" i="29"/>
  <c r="U28" i="29" l="1"/>
  <c r="Y27" i="29"/>
  <c r="W27" i="29"/>
  <c r="R31" i="29"/>
  <c r="T30" i="29"/>
  <c r="AR31" i="29"/>
  <c r="AT30" i="29"/>
  <c r="O30" i="29"/>
  <c r="Q29" i="29"/>
  <c r="U29" i="29" l="1"/>
  <c r="W28" i="29"/>
  <c r="Y28" i="29"/>
  <c r="Q30" i="29"/>
  <c r="O31" i="29"/>
  <c r="AT31" i="29"/>
  <c r="AR32" i="29"/>
  <c r="T31" i="29"/>
  <c r="R32" i="29"/>
  <c r="AR33" i="29" l="1"/>
  <c r="AT33" i="29" s="1"/>
  <c r="AT32" i="29"/>
  <c r="R33" i="29"/>
  <c r="T33" i="29" s="1"/>
  <c r="T32" i="29"/>
  <c r="O32" i="29"/>
  <c r="Q31" i="29"/>
  <c r="U30" i="29"/>
  <c r="W29" i="29"/>
  <c r="Y29" i="29"/>
  <c r="O33" i="29" l="1"/>
  <c r="Q33" i="29" s="1"/>
  <c r="Q32" i="29"/>
  <c r="W30" i="29"/>
  <c r="U31" i="29"/>
  <c r="Y30" i="29"/>
  <c r="Y31" i="29" l="1"/>
  <c r="W31" i="29"/>
  <c r="U32" i="29"/>
  <c r="U33" i="29" l="1"/>
  <c r="W32" i="29"/>
  <c r="Y32" i="29"/>
  <c r="Y33" i="29" l="1"/>
  <c r="W33" i="29"/>
</calcChain>
</file>

<file path=xl/sharedStrings.xml><?xml version="1.0" encoding="utf-8"?>
<sst xmlns="http://schemas.openxmlformats.org/spreadsheetml/2006/main" count="193" uniqueCount="79">
  <si>
    <t>download sheet ini</t>
  </si>
  <si>
    <t>NO</t>
  </si>
  <si>
    <t>BULAN</t>
  </si>
  <si>
    <t>L</t>
  </si>
  <si>
    <t>P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</si>
  <si>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</si>
  <si>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</si>
  <si>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</si>
  <si>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</si>
  <si>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</si>
  <si>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</si>
  <si>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</si>
  <si>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</si>
  <si>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</si>
  <si>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</si>
  <si>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</si>
  <si>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</si>
  <si>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</si>
  <si>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</si>
  <si>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</si>
  <si>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</si>
  <si>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</si>
  <si>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JUMLAH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</si>
  <si>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</si>
  <si>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</si>
  <si>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</si>
  <si>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</si>
  <si>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</si>
  <si>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</si>
  <si>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</si>
  <si>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</si>
  <si>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</si>
  <si>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</si>
  <si>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</si>
  <si>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</si>
  <si>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</si>
  <si>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</si>
  <si>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</si>
  <si>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</si>
  <si>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</si>
  <si>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</si>
  <si>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</si>
  <si>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</si>
  <si>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</si>
  <si>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</si>
  <si>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</si>
  <si>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</si>
  <si>
    <r>
      <rPr>
        <b/>
        <sz val="16"/>
        <color theme="1"/>
        <rFont val="Calibri"/>
      </rPr>
      <t>DATA PELAYANAN GIGI DAN MULUT</t>
    </r>
    <r>
      <rPr>
        <b/>
        <sz val="11"/>
        <color theme="1"/>
        <rFont val="Calibri"/>
      </rPr>
      <t xml:space="preserve">
PUSKESMAS KEDUNGKANDANG
</t>
    </r>
    <r>
      <rPr>
        <b/>
        <sz val="14"/>
        <color theme="1"/>
        <rFont val="Calibri"/>
      </rPr>
      <t>TAHUN 2024</t>
    </r>
  </si>
  <si>
    <t>JUMLAH DOKTER GIGI</t>
  </si>
  <si>
    <t>JUMLAH TERAPIS GIGI</t>
  </si>
  <si>
    <t>SARPRAS DI POLI GIGI SESUAI STANDART MASA PANDEMI/ TIDAK</t>
  </si>
  <si>
    <t>TUMPATAN GIGI TETAP</t>
  </si>
  <si>
    <t>PENCABUTAN GIGI TETAP</t>
  </si>
  <si>
    <t>RASIO TUMPATAN/ PENCABUTAN</t>
  </si>
  <si>
    <t>JUMLAH KASUS GIGI</t>
  </si>
  <si>
    <t>JUMLAH KASUS DIRUJUK</t>
  </si>
  <si>
    <t>% KASUS DIRUJUK</t>
  </si>
  <si>
    <t>BUMIL YANG BERKUNJUNG KE PUSKESMAS</t>
  </si>
  <si>
    <t>BUMIL YANG MENDAPATKAN PELAYANAN DI POLI GIGI PUSKESMAS</t>
  </si>
  <si>
    <t>%</t>
  </si>
  <si>
    <t>JUMLAH PAUD/ TK</t>
  </si>
  <si>
    <t>JUMLAH PAUD/TK MENDAPAT PENYULUHAN/ PEMERIKSAAN KES. GIGI</t>
  </si>
  <si>
    <t>JUMLAH POSYANDU</t>
  </si>
  <si>
    <t>JUMLAH POSYANDU YANG DIKUNJUNGI TERKAIT GILUT</t>
  </si>
  <si>
    <t>JUMLAH SD/MI</t>
  </si>
  <si>
    <t>JUMLAH SD/MI DGN SIKAT GIGI MASSAL</t>
  </si>
  <si>
    <t>JUMLAH SD/MI MENDAPAT YAN. GIGI</t>
  </si>
  <si>
    <t>JUMLAH KESELURUHAN MURID SD/MI</t>
  </si>
  <si>
    <t>MURID SD/MI YANG DIPERIKSA</t>
  </si>
  <si>
    <t>MURID SD/ MI YANG PERLU PERAWATAN</t>
  </si>
  <si>
    <t>MURID SD/ MI YANG MENDAPAT PERAWATAN</t>
  </si>
  <si>
    <t>JUMLAH SMP/MTs</t>
  </si>
  <si>
    <t>JUMLAH SMP/MTs MENDAPAT YAN. GIGI</t>
  </si>
  <si>
    <t>JUMLAH KESELURUHAN MURID SMP/MTs</t>
  </si>
  <si>
    <t>MURID SMP/MTs YANG DIPERIKSA</t>
  </si>
  <si>
    <t>MURID SMP/MTs YANG PERLU PERAWATAN</t>
  </si>
  <si>
    <t>MURID SMP/MTs YANG MENDAPAT PERAWATAN</t>
  </si>
  <si>
    <t>L + P</t>
  </si>
  <si>
    <t>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</si>
</sst>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4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sz val="14"/>
      <color theme="1"/>
      <name val="Calibri"/>
    </font>
    <font>
      <sz val="11"/>
      <color theme="1"/>
      <name val="Bookman Old Style"/>
    </font>
    <font>
      <b/>
      <u/>
      <sz val="14"/>
      <color rgb="FF0000FF"/>
      <name val="Calibri"/>
    </font>
    <font>
      <b/>
      <u/>
      <sz val="12"/>
      <color rgb="FF274E13"/>
      <name val="Calibri"/>
    </font>
    <font>
      <sz val="11"/>
      <color theme="1"/>
      <name val="Arial"/>
    </font>
    <font>
      <sz val="11"/>
      <color rgb="FF1A1A1A"/>
      <name val="Arial"/>
    </font>
    <font>
      <b/>
      <sz val="11"/>
      <color rgb="FF000000"/>
      <name val="Calibri"/>
    </font>
    <font>
      <b/>
      <sz val="11"/>
      <color rgb="FF000000"/>
      <name val="Arial"/>
    </font>
    <font>
      <b/>
      <u/>
      <sz val="12"/>
      <color rgb="FF0000FF"/>
      <name val="Calibri"/>
    </font>
    <font>
      <b/>
      <sz val="12"/>
      <color rgb="FF000000"/>
      <name val="Arial"/>
    </font>
    <font>
      <b/>
      <u/>
      <sz val="12"/>
      <color rgb="FF274E13"/>
      <name val="Calibri"/>
    </font>
    <font>
      <sz val="10"/>
      <color rgb="FF000000"/>
      <name val="Arial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u/>
      <sz val="12"/>
      <color rgb="FF0000FF"/>
      <name val="Calibri"/>
    </font>
    <font>
      <b/>
      <sz val="10"/>
      <color theme="1"/>
      <name val="Arial"/>
    </font>
    <font>
      <i/>
      <sz val="11"/>
      <color theme="1"/>
      <name val="Arial"/>
    </font>
    <font>
      <i/>
      <sz val="10"/>
      <color theme="1"/>
      <name val="Arial"/>
    </font>
    <font>
      <sz val="12"/>
      <color rgb="FF1A1A1A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/>
    <xf numFmtId="0" fontId="10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0" fillId="5" borderId="23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0" fillId="5" borderId="27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left"/>
    </xf>
    <xf numFmtId="0" fontId="17" fillId="0" borderId="0" xfId="0" applyFont="1" applyAlignment="1">
      <alignment vertic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11" fillId="0" borderId="22" xfId="0" applyNumberFormat="1" applyFont="1" applyBorder="1" applyAlignment="1">
      <alignment horizontal="right"/>
    </xf>
    <xf numFmtId="0" fontId="22" fillId="2" borderId="1" xfId="0" applyFont="1" applyFill="1" applyBorder="1"/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3" fontId="18" fillId="0" borderId="22" xfId="0" applyNumberFormat="1" applyFont="1" applyBorder="1" applyAlignment="1">
      <alignment horizontal="right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1" fillId="0" borderId="19" xfId="0" applyNumberFormat="1" applyFont="1" applyBorder="1" applyAlignment="1">
      <alignment horizontal="right"/>
    </xf>
    <xf numFmtId="0" fontId="6" fillId="0" borderId="0" xfId="0" applyFont="1"/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31" fillId="0" borderId="22" xfId="0" applyNumberFormat="1" applyFont="1" applyBorder="1" applyAlignment="1">
      <alignment horizontal="center"/>
    </xf>
    <xf numFmtId="3" fontId="31" fillId="4" borderId="22" xfId="0" applyNumberFormat="1" applyFont="1" applyFill="1" applyBorder="1" applyAlignment="1">
      <alignment horizontal="center"/>
    </xf>
    <xf numFmtId="3" fontId="31" fillId="7" borderId="22" xfId="0" applyNumberFormat="1" applyFont="1" applyFill="1" applyBorder="1" applyAlignment="1">
      <alignment horizontal="center"/>
    </xf>
    <xf numFmtId="3" fontId="31" fillId="11" borderId="22" xfId="0" applyNumberFormat="1" applyFont="1" applyFill="1" applyBorder="1" applyAlignment="1">
      <alignment horizontal="center"/>
    </xf>
    <xf numFmtId="3" fontId="31" fillId="12" borderId="22" xfId="0" applyNumberFormat="1" applyFont="1" applyFill="1" applyBorder="1" applyAlignment="1">
      <alignment horizontal="center"/>
    </xf>
    <xf numFmtId="3" fontId="31" fillId="13" borderId="22" xfId="0" applyNumberFormat="1" applyFont="1" applyFill="1" applyBorder="1" applyAlignment="1">
      <alignment horizontal="center"/>
    </xf>
    <xf numFmtId="3" fontId="31" fillId="14" borderId="22" xfId="0" applyNumberFormat="1" applyFont="1" applyFill="1" applyBorder="1" applyAlignment="1">
      <alignment horizontal="center"/>
    </xf>
    <xf numFmtId="3" fontId="31" fillId="15" borderId="22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11" borderId="26" xfId="0" applyFont="1" applyFill="1" applyBorder="1" applyAlignment="1">
      <alignment horizontal="center" vertical="center"/>
    </xf>
    <xf numFmtId="0" fontId="32" fillId="12" borderId="26" xfId="0" applyFont="1" applyFill="1" applyBorder="1" applyAlignment="1">
      <alignment horizontal="center" vertical="center"/>
    </xf>
    <xf numFmtId="0" fontId="32" fillId="13" borderId="26" xfId="0" applyFont="1" applyFill="1" applyBorder="1" applyAlignment="1">
      <alignment horizontal="center" vertical="center"/>
    </xf>
    <xf numFmtId="0" fontId="32" fillId="14" borderId="26" xfId="0" applyFont="1" applyFill="1" applyBorder="1" applyAlignment="1">
      <alignment horizontal="center" vertical="center"/>
    </xf>
    <xf numFmtId="0" fontId="32" fillId="15" borderId="26" xfId="0" applyFont="1" applyFill="1" applyBorder="1" applyAlignment="1">
      <alignment horizontal="center" vertical="center"/>
    </xf>
    <xf numFmtId="0" fontId="32" fillId="15" borderId="25" xfId="0" applyFont="1" applyFill="1" applyBorder="1" applyAlignment="1">
      <alignment horizontal="center" vertical="center"/>
    </xf>
    <xf numFmtId="3" fontId="19" fillId="0" borderId="18" xfId="0" applyNumberFormat="1" applyFont="1" applyBorder="1"/>
    <xf numFmtId="164" fontId="18" fillId="0" borderId="18" xfId="0" applyNumberFormat="1" applyFont="1" applyBorder="1" applyAlignment="1">
      <alignment horizontal="center"/>
    </xf>
    <xf numFmtId="3" fontId="33" fillId="3" borderId="26" xfId="0" applyNumberFormat="1" applyFont="1" applyFill="1" applyBorder="1"/>
    <xf numFmtId="3" fontId="19" fillId="3" borderId="26" xfId="0" applyNumberFormat="1" applyFont="1" applyFill="1" applyBorder="1"/>
    <xf numFmtId="164" fontId="18" fillId="0" borderId="22" xfId="0" applyNumberFormat="1" applyFont="1" applyBorder="1" applyAlignment="1">
      <alignment horizontal="center"/>
    </xf>
    <xf numFmtId="3" fontId="19" fillId="0" borderId="22" xfId="0" applyNumberFormat="1" applyFont="1" applyBorder="1"/>
    <xf numFmtId="164" fontId="18" fillId="0" borderId="22" xfId="0" applyNumberFormat="1" applyFont="1" applyBorder="1" applyAlignment="1">
      <alignment horizontal="center" vertical="center"/>
    </xf>
    <xf numFmtId="3" fontId="18" fillId="0" borderId="22" xfId="0" applyNumberFormat="1" applyFont="1" applyBorder="1"/>
    <xf numFmtId="3" fontId="19" fillId="0" borderId="18" xfId="0" applyNumberFormat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 vertical="center"/>
    </xf>
    <xf numFmtId="3" fontId="9" fillId="5" borderId="26" xfId="0" applyNumberFormat="1" applyFont="1" applyFill="1" applyBorder="1"/>
    <xf numFmtId="3" fontId="9" fillId="5" borderId="26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/>
    </xf>
    <xf numFmtId="164" fontId="9" fillId="5" borderId="22" xfId="0" applyNumberFormat="1" applyFont="1" applyFill="1" applyBorder="1" applyAlignment="1">
      <alignment horizontal="center"/>
    </xf>
    <xf numFmtId="3" fontId="9" fillId="5" borderId="22" xfId="0" applyNumberFormat="1" applyFont="1" applyFill="1" applyBorder="1"/>
    <xf numFmtId="164" fontId="9" fillId="5" borderId="22" xfId="0" applyNumberFormat="1" applyFont="1" applyFill="1" applyBorder="1" applyAlignment="1">
      <alignment horizontal="center" vertical="center"/>
    </xf>
    <xf numFmtId="3" fontId="9" fillId="5" borderId="22" xfId="0" applyNumberFormat="1" applyFont="1" applyFill="1" applyBorder="1" applyAlignment="1">
      <alignment horizontal="center"/>
    </xf>
    <xf numFmtId="3" fontId="9" fillId="5" borderId="22" xfId="0" applyNumberFormat="1" applyFont="1" applyFill="1" applyBorder="1" applyAlignment="1">
      <alignment horizontal="right"/>
    </xf>
    <xf numFmtId="3" fontId="9" fillId="0" borderId="18" xfId="0" applyNumberFormat="1" applyFont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164" fontId="9" fillId="0" borderId="22" xfId="0" applyNumberFormat="1" applyFont="1" applyBorder="1" applyAlignment="1">
      <alignment horizontal="center"/>
    </xf>
    <xf numFmtId="164" fontId="9" fillId="0" borderId="22" xfId="0" applyNumberFormat="1" applyFont="1" applyBorder="1" applyAlignment="1">
      <alignment horizontal="center" vertical="center"/>
    </xf>
    <xf numFmtId="0" fontId="3" fillId="4" borderId="1" xfId="0" applyFont="1" applyFill="1" applyBorder="1"/>
    <xf numFmtId="3" fontId="3" fillId="0" borderId="0" xfId="0" applyNumberFormat="1" applyFont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8" fillId="2" borderId="13" xfId="0" applyFont="1" applyFill="1" applyBorder="1" applyAlignment="1">
      <alignment horizontal="left" vertical="center"/>
    </xf>
    <xf numFmtId="0" fontId="2" fillId="0" borderId="14" xfId="0" applyFont="1" applyBorder="1"/>
    <xf numFmtId="0" fontId="4" fillId="0" borderId="31" xfId="0" applyFont="1" applyBorder="1" applyAlignment="1">
      <alignment horizontal="center" vertical="center" wrapText="1"/>
    </xf>
    <xf numFmtId="0" fontId="2" fillId="0" borderId="33" xfId="0" applyFont="1" applyBorder="1"/>
    <xf numFmtId="0" fontId="2" fillId="0" borderId="19" xfId="0" applyFont="1" applyBorder="1"/>
    <xf numFmtId="0" fontId="4" fillId="0" borderId="37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1" xfId="0" applyFont="1" applyBorder="1"/>
    <xf numFmtId="0" fontId="8" fillId="6" borderId="4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0" fillId="0" borderId="0" xfId="0"/>
    <xf numFmtId="0" fontId="2" fillId="0" borderId="4" xfId="0" applyFont="1" applyBorder="1"/>
    <xf numFmtId="0" fontId="2" fillId="0" borderId="10" xfId="0" applyFont="1" applyBorder="1"/>
    <xf numFmtId="0" fontId="27" fillId="2" borderId="3" xfId="0" applyFont="1" applyFill="1" applyBorder="1" applyAlignment="1">
      <alignment horizontal="center" vertical="center"/>
    </xf>
    <xf numFmtId="0" fontId="2" fillId="0" borderId="38" xfId="0" applyFont="1" applyBorder="1"/>
    <xf numFmtId="0" fontId="8" fillId="8" borderId="37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center" vertical="center" wrapText="1"/>
    </xf>
    <xf numFmtId="0" fontId="8" fillId="10" borderId="40" xfId="0" applyFont="1" applyFill="1" applyBorder="1" applyAlignment="1">
      <alignment horizontal="center" vertical="center" wrapText="1"/>
    </xf>
    <xf numFmtId="0" fontId="30" fillId="14" borderId="39" xfId="0" applyFont="1" applyFill="1" applyBorder="1" applyAlignment="1">
      <alignment horizontal="center" vertical="center"/>
    </xf>
    <xf numFmtId="0" fontId="2" fillId="0" borderId="36" xfId="0" applyFont="1" applyBorder="1"/>
    <xf numFmtId="0" fontId="30" fillId="15" borderId="39" xfId="0" applyFont="1" applyFill="1" applyBorder="1" applyAlignment="1">
      <alignment horizontal="center" vertical="center"/>
    </xf>
    <xf numFmtId="0" fontId="2" fillId="0" borderId="41" xfId="0" applyFont="1" applyBorder="1"/>
    <xf numFmtId="0" fontId="30" fillId="15" borderId="31" xfId="0" applyFont="1" applyFill="1" applyBorder="1" applyAlignment="1">
      <alignment horizontal="center" vertical="center" wrapText="1"/>
    </xf>
    <xf numFmtId="0" fontId="30" fillId="15" borderId="31" xfId="0" applyFont="1" applyFill="1" applyBorder="1" applyAlignment="1">
      <alignment horizontal="center" vertical="center"/>
    </xf>
    <xf numFmtId="0" fontId="30" fillId="15" borderId="34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2" xfId="0" applyFont="1" applyBorder="1"/>
    <xf numFmtId="0" fontId="2" fillId="0" borderId="35" xfId="0" applyFont="1" applyBorder="1"/>
    <xf numFmtId="0" fontId="2" fillId="0" borderId="20" xfId="0" applyFont="1" applyBorder="1"/>
    <xf numFmtId="0" fontId="2" fillId="0" borderId="18" xfId="0" applyFont="1" applyBorder="1"/>
    <xf numFmtId="0" fontId="30" fillId="0" borderId="31" xfId="0" applyFont="1" applyBorder="1" applyAlignment="1">
      <alignment horizontal="center" vertical="center" wrapText="1"/>
    </xf>
    <xf numFmtId="0" fontId="30" fillId="14" borderId="31" xfId="0" applyFont="1" applyFill="1" applyBorder="1" applyAlignment="1">
      <alignment horizontal="center" vertical="center"/>
    </xf>
    <xf numFmtId="0" fontId="30" fillId="14" borderId="34" xfId="0" applyFont="1" applyFill="1" applyBorder="1" applyAlignment="1">
      <alignment horizontal="center" vertical="center" wrapText="1"/>
    </xf>
    <xf numFmtId="0" fontId="30" fillId="14" borderId="34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12" xfId="0" applyFont="1" applyBorder="1"/>
    <xf numFmtId="0" fontId="16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vertical="center"/>
    </xf>
    <xf numFmtId="0" fontId="30" fillId="0" borderId="31" xfId="0" applyFont="1" applyBorder="1" applyAlignment="1">
      <alignment horizontal="center" vertical="center"/>
    </xf>
    <xf numFmtId="0" fontId="30" fillId="4" borderId="31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30" fillId="11" borderId="31" xfId="0" applyFont="1" applyFill="1" applyBorder="1" applyAlignment="1">
      <alignment horizontal="center" vertical="center" wrapText="1"/>
    </xf>
    <xf numFmtId="0" fontId="30" fillId="11" borderId="31" xfId="0" applyFont="1" applyFill="1" applyBorder="1" applyAlignment="1">
      <alignment horizontal="center" vertical="center"/>
    </xf>
    <xf numFmtId="0" fontId="30" fillId="12" borderId="31" xfId="0" applyFont="1" applyFill="1" applyBorder="1" applyAlignment="1">
      <alignment horizontal="center" vertical="center" wrapText="1"/>
    </xf>
    <xf numFmtId="0" fontId="30" fillId="12" borderId="31" xfId="0" applyFont="1" applyFill="1" applyBorder="1" applyAlignment="1">
      <alignment horizontal="center" vertical="center"/>
    </xf>
    <xf numFmtId="0" fontId="30" fillId="14" borderId="31" xfId="0" applyFont="1" applyFill="1" applyBorder="1" applyAlignment="1">
      <alignment horizontal="center" vertical="center" wrapText="1"/>
    </xf>
    <xf numFmtId="0" fontId="30" fillId="13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79" t="s">
        <v>23</v>
      </c>
      <c r="B1" s="80"/>
      <c r="C1" s="23"/>
      <c r="D1" s="23"/>
      <c r="E1" s="23"/>
      <c r="F1" s="23"/>
      <c r="G1" s="23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81"/>
      <c r="B2" s="82"/>
      <c r="C2" s="24" t="s">
        <v>21</v>
      </c>
      <c r="D2" s="23"/>
      <c r="E2" s="23"/>
      <c r="F2" s="23"/>
      <c r="G2" s="23"/>
      <c r="H2" s="23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83"/>
      <c r="B3" s="84"/>
      <c r="C3" s="24" t="s">
        <v>24</v>
      </c>
      <c r="D3" s="23"/>
      <c r="E3" s="23"/>
      <c r="F3" s="23"/>
      <c r="G3" s="23"/>
      <c r="H3" s="23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85" t="s">
        <v>0</v>
      </c>
      <c r="B4" s="86"/>
      <c r="C4" s="23"/>
      <c r="D4" s="23"/>
      <c r="E4" s="23"/>
      <c r="F4" s="23"/>
      <c r="G4" s="23"/>
      <c r="H4" s="23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25"/>
      <c r="B6" s="87" t="s">
        <v>33</v>
      </c>
      <c r="C6" s="90" t="s">
        <v>25</v>
      </c>
      <c r="D6" s="91"/>
      <c r="E6" s="91"/>
      <c r="F6" s="91"/>
      <c r="G6" s="91"/>
      <c r="H6" s="91"/>
      <c r="I6" s="92"/>
      <c r="J6" s="25"/>
      <c r="K6" s="25"/>
      <c r="L6" s="25"/>
      <c r="M6" s="25"/>
      <c r="N6" s="25"/>
      <c r="O6" s="25"/>
      <c r="P6" s="25"/>
      <c r="Q6" s="25"/>
    </row>
    <row r="7" spans="1:19" ht="46.5" x14ac:dyDescent="0.25">
      <c r="A7" s="26"/>
      <c r="B7" s="88"/>
      <c r="C7" s="27" t="s">
        <v>26</v>
      </c>
      <c r="D7" s="27" t="s">
        <v>27</v>
      </c>
      <c r="E7" s="27" t="s">
        <v>28</v>
      </c>
      <c r="F7" s="27" t="s">
        <v>29</v>
      </c>
      <c r="G7" s="27" t="s">
        <v>30</v>
      </c>
      <c r="H7" s="27" t="s">
        <v>31</v>
      </c>
      <c r="I7" s="27" t="s">
        <v>32</v>
      </c>
      <c r="J7" s="26"/>
      <c r="K7" s="26"/>
      <c r="L7" s="26"/>
      <c r="M7" s="26"/>
      <c r="N7" s="26"/>
      <c r="O7" s="26"/>
      <c r="P7" s="26"/>
      <c r="Q7" s="26"/>
    </row>
    <row r="8" spans="1:19" ht="15.5" x14ac:dyDescent="0.25">
      <c r="A8" s="25"/>
      <c r="B8" s="89"/>
      <c r="C8" s="28">
        <v>1</v>
      </c>
      <c r="D8" s="28">
        <v>2</v>
      </c>
      <c r="E8" s="28">
        <v>3</v>
      </c>
      <c r="F8" s="28">
        <v>4</v>
      </c>
      <c r="G8" s="28">
        <v>5</v>
      </c>
      <c r="H8" s="28">
        <v>6</v>
      </c>
      <c r="I8" s="28">
        <v>7</v>
      </c>
      <c r="J8" s="29"/>
      <c r="K8" s="29"/>
      <c r="L8" s="29"/>
      <c r="M8" s="29"/>
      <c r="N8" s="29"/>
      <c r="O8" s="29"/>
      <c r="P8" s="29"/>
      <c r="Q8" s="25"/>
    </row>
    <row r="9" spans="1:19" ht="14" x14ac:dyDescent="0.3">
      <c r="B9" s="30" t="e">
        <f>#REF!</f>
        <v>#REF!</v>
      </c>
      <c r="C9" s="16">
        <f ca="1">IFERROR(__xludf.DUMMYFUNCTION("IMPORTRANGE(""https://docs.google.com/spreadsheets/d/1P0UTisakTE5EAx-MYEjY2DmhSnLNqqRm6P3NrlYXL2I/edit#gid=1892753874"",""Rekap KTR!$E$6"")"),6)</f>
        <v>6</v>
      </c>
      <c r="D9" s="16">
        <f ca="1">IFERROR(__xludf.DUMMYFUNCTION("IMPORTRANGE(""https://docs.google.com/spreadsheets/d/1P0UTisakTE5EAx-MYEjY2DmhSnLNqqRm6P3NrlYXL2I/edit#gid=1892753874"",""Rekap KTR!$E$7"")"),26)</f>
        <v>26</v>
      </c>
      <c r="E9" s="16">
        <f ca="1">IFERROR(__xludf.DUMMYFUNCTION("IMPORTRANGE(""https://docs.google.com/spreadsheets/d/1P0UTisakTE5EAx-MYEjY2DmhSnLNqqRm6P3NrlYXL2I/edit#gid=1892753874"",""Rekap KTR!$E$8"")"),56)</f>
        <v>56</v>
      </c>
      <c r="F9" s="16">
        <f ca="1">IFERROR(__xludf.DUMMYFUNCTION("IMPORTRANGE(""https://docs.google.com/spreadsheets/d/1P0UTisakTE5EAx-MYEjY2DmhSnLNqqRm6P3NrlYXL2I/edit#gid=1892753874"",""Rekap KTR!$E$9"")"),8)</f>
        <v>8</v>
      </c>
      <c r="G9" s="16">
        <f ca="1">IFERROR(__xludf.DUMMYFUNCTION("IMPORTRANGE(""https://docs.google.com/spreadsheets/d/1P0UTisakTE5EAx-MYEjY2DmhSnLNqqRm6P3NrlYXL2I/edit#gid=1892753874"",""Rekap KTR!$E$10"")"),0)</f>
        <v>0</v>
      </c>
      <c r="H9" s="16">
        <f ca="1">IFERROR(__xludf.DUMMYFUNCTION("IMPORTRANGE(""https://docs.google.com/spreadsheets/d/1P0UTisakTE5EAx-MYEjY2DmhSnLNqqRm6P3NrlYXL2I/edit#gid=1892753874"",""Rekap KTR!$E$11"")"),8)</f>
        <v>8</v>
      </c>
      <c r="I9" s="16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30" t="e">
        <f>#REF!</f>
        <v>#REF!</v>
      </c>
      <c r="C10" s="16">
        <f ca="1">IFERROR(__xludf.DUMMYFUNCTION("IMPORTRANGE(""https://docs.google.com/spreadsheets/d/1jB-UnyPBzGq1HOZkIVtft_Wo28OEKcZNsVgS5r_boTE/edit#gid=1522333227"",""Rekap KTR!$E$6"")"),12)</f>
        <v>12</v>
      </c>
      <c r="D10" s="16">
        <f ca="1">IFERROR(__xludf.DUMMYFUNCTION("IMPORTRANGE(""https://docs.google.com/spreadsheets/d/1jB-UnyPBzGq1HOZkIVtft_Wo28OEKcZNsVgS5r_boTE/edit#gid=1522333227"",""Rekap KTR!$E$7"")"),53)</f>
        <v>53</v>
      </c>
      <c r="E10" s="16">
        <f ca="1">IFERROR(__xludf.DUMMYFUNCTION("IMPORTRANGE(""https://docs.google.com/spreadsheets/d/1jB-UnyPBzGq1HOZkIVtft_Wo28OEKcZNsVgS5r_boTE/edit#gid=1522333227"",""Rekap KTR!$E$8"")"),56)</f>
        <v>56</v>
      </c>
      <c r="F10" s="16" t="str">
        <f ca="1">IFERROR(__xludf.DUMMYFUNCTION("IMPORTRANGE(""https://docs.google.com/spreadsheets/d/1jB-UnyPBzGq1HOZkIVtft_Wo28OEKcZNsVgS5r_boTE/edit#gid=1522333227"",""Rekap KTR!$E$9"")"),"")</f>
        <v/>
      </c>
      <c r="G10" s="16">
        <f ca="1">IFERROR(__xludf.DUMMYFUNCTION("IMPORTRANGE(""https://docs.google.com/spreadsheets/d/1jB-UnyPBzGq1HOZkIVtft_Wo28OEKcZNsVgS5r_boTE/edit#gid=1522333227"",""Rekap KTR!$E$10"")"),0)</f>
        <v>0</v>
      </c>
      <c r="H10" s="16" t="str">
        <f ca="1">IFERROR(__xludf.DUMMYFUNCTION("IMPORTRANGE(""https://docs.google.com/spreadsheets/d/1jB-UnyPBzGq1HOZkIVtft_Wo28OEKcZNsVgS5r_boTE/edit#gid=1522333227"",""Rekap KTR!$E$11"")"),"")</f>
        <v/>
      </c>
      <c r="I10" s="16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30" t="e">
        <f>#REF!</f>
        <v>#REF!</v>
      </c>
      <c r="C11" s="16">
        <f ca="1">IFERROR(__xludf.DUMMYFUNCTION("IMPORTRANGE(""https://docs.google.com/spreadsheets/d/1gHFrRpJ5fnyxfJI-jxT5z1B1L7rSV8E5sIZEN90Rfhc/edit#gid=1522333227"",""Rekap KTR!$E$6"")"),4)</f>
        <v>4</v>
      </c>
      <c r="D11" s="16">
        <f ca="1">IFERROR(__xludf.DUMMYFUNCTION("IMPORTRANGE(""https://docs.google.com/spreadsheets/d/1gHFrRpJ5fnyxfJI-jxT5z1B1L7rSV8E5sIZEN90Rfhc/edit#gid=1522333227"",""Rekap KTR!$E$7"")"),29)</f>
        <v>29</v>
      </c>
      <c r="E11" s="16">
        <f ca="1">IFERROR(__xludf.DUMMYFUNCTION("IMPORTRANGE(""https://docs.google.com/spreadsheets/d/1gHFrRpJ5fnyxfJI-jxT5z1B1L7rSV8E5sIZEN90Rfhc/edit#gid=1522333227"",""Rekap KTR!$E$8"")"),31)</f>
        <v>31</v>
      </c>
      <c r="F11" s="16" t="str">
        <f ca="1">IFERROR(__xludf.DUMMYFUNCTION("IMPORTRANGE(""https://docs.google.com/spreadsheets/d/1gHFrRpJ5fnyxfJI-jxT5z1B1L7rSV8E5sIZEN90Rfhc/edit#gid=1522333227"",""Rekap KTR!$E$9"")"),"")</f>
        <v/>
      </c>
      <c r="G11" s="16" t="str">
        <f ca="1">IFERROR(__xludf.DUMMYFUNCTION("IMPORTRANGE(""https://docs.google.com/spreadsheets/d/1gHFrRpJ5fnyxfJI-jxT5z1B1L7rSV8E5sIZEN90Rfhc/edit#gid=1522333227"",""Rekap KTR!$E$10"")"),"")</f>
        <v/>
      </c>
      <c r="H11" s="16" t="str">
        <f ca="1">IFERROR(__xludf.DUMMYFUNCTION("IMPORTRANGE(""https://docs.google.com/spreadsheets/d/1gHFrRpJ5fnyxfJI-jxT5z1B1L7rSV8E5sIZEN90Rfhc/edit#gid=1522333227"",""Rekap KTR!$E$11"")"),"")</f>
        <v/>
      </c>
      <c r="I11" s="1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30" t="e">
        <f>#REF!</f>
        <v>#REF!</v>
      </c>
      <c r="C12" s="16">
        <f ca="1">IFERROR(__xludf.DUMMYFUNCTION("IMPORTRANGE(""https://docs.google.com/spreadsheets/d/1saC2UP2JuYJ7WRPxjh8EMf_BSfGZ18Ous8sVKGLr-Ng/edit#gid=1892753874"",""Rekap KTR!$E$6"")"),8)</f>
        <v>8</v>
      </c>
      <c r="D12" s="16">
        <f ca="1">IFERROR(__xludf.DUMMYFUNCTION("IMPORTRANGE(""https://docs.google.com/spreadsheets/d/1saC2UP2JuYJ7WRPxjh8EMf_BSfGZ18Ous8sVKGLr-Ng/edit#gid=1892753874"",""Rekap KTR!$E$7"")"),41)</f>
        <v>41</v>
      </c>
      <c r="E12" s="16">
        <f ca="1">IFERROR(__xludf.DUMMYFUNCTION("IMPORTRANGE(""https://docs.google.com/spreadsheets/d/1saC2UP2JuYJ7WRPxjh8EMf_BSfGZ18Ous8sVKGLr-Ng/edit#gid=1892753874"",""Rekap KTR!$E$8"")"),41)</f>
        <v>41</v>
      </c>
      <c r="F12" s="16">
        <f ca="1">IFERROR(__xludf.DUMMYFUNCTION("IMPORTRANGE(""https://docs.google.com/spreadsheets/d/1saC2UP2JuYJ7WRPxjh8EMf_BSfGZ18Ous8sVKGLr-Ng/edit#gid=1892753874"",""Rekap KTR!$E$9"")"),14)</f>
        <v>14</v>
      </c>
      <c r="G12" s="16">
        <f ca="1">IFERROR(__xludf.DUMMYFUNCTION("IMPORTRANGE(""https://docs.google.com/spreadsheets/d/1saC2UP2JuYJ7WRPxjh8EMf_BSfGZ18Ous8sVKGLr-Ng/edit#gid=1892753874"",""Rekap KTR!$E$10"")"),0)</f>
        <v>0</v>
      </c>
      <c r="H12" s="16">
        <f ca="1">IFERROR(__xludf.DUMMYFUNCTION("IMPORTRANGE(""https://docs.google.com/spreadsheets/d/1saC2UP2JuYJ7WRPxjh8EMf_BSfGZ18Ous8sVKGLr-Ng/edit#gid=1892753874"",""Rekap KTR!$E$11"")"),0)</f>
        <v>0</v>
      </c>
      <c r="I12" s="16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30" t="e">
        <f>#REF!</f>
        <v>#REF!</v>
      </c>
      <c r="C13" s="16">
        <f ca="1">IFERROR(__xludf.DUMMYFUNCTION("IMPORTRANGE(""https://docs.google.com/spreadsheets/d/1ApPPV7RPuDI1EDOKjkoDXkV5Yd_NofeQTYTtAHUYGGw/edit#gid=1522333227"",""Rekap KTR!$E$6"")"),3)</f>
        <v>3</v>
      </c>
      <c r="D13" s="16">
        <f ca="1">IFERROR(__xludf.DUMMYFUNCTION("IMPORTRANGE(""https://docs.google.com/spreadsheets/d/1ApPPV7RPuDI1EDOKjkoDXkV5Yd_NofeQTYTtAHUYGGw/edit#gid=1522333227"",""Rekap KTR!$E$7"")"),20)</f>
        <v>20</v>
      </c>
      <c r="E13" s="16">
        <f ca="1">IFERROR(__xludf.DUMMYFUNCTION("IMPORTRANGE(""https://docs.google.com/spreadsheets/d/1ApPPV7RPuDI1EDOKjkoDXkV5Yd_NofeQTYTtAHUYGGw/edit#gid=1522333227"",""Rekap KTR!$E$8"")"),6)</f>
        <v>6</v>
      </c>
      <c r="F13" s="16" t="str">
        <f ca="1">IFERROR(__xludf.DUMMYFUNCTION("IMPORTRANGE(""https://docs.google.com/spreadsheets/d/1ApPPV7RPuDI1EDOKjkoDXkV5Yd_NofeQTYTtAHUYGGw/edit#gid=1522333227"",""Rekap KTR!$E$9"")"),"")</f>
        <v/>
      </c>
      <c r="G13" s="16" t="str">
        <f ca="1">IFERROR(__xludf.DUMMYFUNCTION("IMPORTRANGE(""https://docs.google.com/spreadsheets/d/1ApPPV7RPuDI1EDOKjkoDXkV5Yd_NofeQTYTtAHUYGGw/edit#gid=1522333227"",""Rekap KTR!$E$10"")"),"")</f>
        <v/>
      </c>
      <c r="H13" s="16" t="str">
        <f ca="1">IFERROR(__xludf.DUMMYFUNCTION("IMPORTRANGE(""https://docs.google.com/spreadsheets/d/1ApPPV7RPuDI1EDOKjkoDXkV5Yd_NofeQTYTtAHUYGGw/edit#gid=1522333227"",""Rekap KTR!$E$11"")"),"")</f>
        <v/>
      </c>
      <c r="I13" s="1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30" t="e">
        <f>#REF!</f>
        <v>#REF!</v>
      </c>
      <c r="C14" s="16">
        <f ca="1">IFERROR(__xludf.DUMMYFUNCTION("IMPORTRANGE(""https://docs.google.com/spreadsheets/d/1iV_nqIfkAdyO_vl_QARxWbfnGcK2KlCCS94aVJ2QbTI/edit#gid=1522333227"",""Rekap KTR!$E$6"")"),6)</f>
        <v>6</v>
      </c>
      <c r="D14" s="16">
        <f ca="1">IFERROR(__xludf.DUMMYFUNCTION("IMPORTRANGE(""https://docs.google.com/spreadsheets/d/1iV_nqIfkAdyO_vl_QARxWbfnGcK2KlCCS94aVJ2QbTI/edit#gid=1522333227"",""Rekap KTR!$E$7"")"),26)</f>
        <v>26</v>
      </c>
      <c r="E14" s="16">
        <f ca="1">IFERROR(__xludf.DUMMYFUNCTION("IMPORTRANGE(""https://docs.google.com/spreadsheets/d/1iV_nqIfkAdyO_vl_QARxWbfnGcK2KlCCS94aVJ2QbTI/edit#gid=1522333227"",""Rekap KTR!$E$8"")"),13)</f>
        <v>13</v>
      </c>
      <c r="F14" s="16">
        <f ca="1">IFERROR(__xludf.DUMMYFUNCTION("IMPORTRANGE(""https://docs.google.com/spreadsheets/d/1iV_nqIfkAdyO_vl_QARxWbfnGcK2KlCCS94aVJ2QbTI/edit#gid=1522333227"",""Rekap KTR!$E$9"")"),0)</f>
        <v>0</v>
      </c>
      <c r="G14" s="16">
        <f ca="1">IFERROR(__xludf.DUMMYFUNCTION("IMPORTRANGE(""https://docs.google.com/spreadsheets/d/1iV_nqIfkAdyO_vl_QARxWbfnGcK2KlCCS94aVJ2QbTI/edit#gid=1522333227"",""Rekap KTR!$E$10"")"),0)</f>
        <v>0</v>
      </c>
      <c r="H14" s="16">
        <f ca="1">IFERROR(__xludf.DUMMYFUNCTION("IMPORTRANGE(""https://docs.google.com/spreadsheets/d/1iV_nqIfkAdyO_vl_QARxWbfnGcK2KlCCS94aVJ2QbTI/edit#gid=1522333227"",""Rekap KTR!$E$11"")"),0)</f>
        <v>0</v>
      </c>
      <c r="I14" s="16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30" t="e">
        <f>#REF!</f>
        <v>#REF!</v>
      </c>
      <c r="C15" s="16">
        <f ca="1">IFERROR(__xludf.DUMMYFUNCTION("IMPORTRANGE(""https://docs.google.com/spreadsheets/d/1zz70Lj6oBg1MOPSG6KJcsMeqBNtXMHYICRkg7kpt_d0/edit#gid=1892753874"",""Rekap KTR!$E$6"")"),9)</f>
        <v>9</v>
      </c>
      <c r="D15" s="16">
        <f ca="1">IFERROR(__xludf.DUMMYFUNCTION("IMPORTRANGE(""https://docs.google.com/spreadsheets/d/1zz70Lj6oBg1MOPSG6KJcsMeqBNtXMHYICRkg7kpt_d0/edit#gid=1892753874"",""Rekap KTR!$E$7"")"),47)</f>
        <v>47</v>
      </c>
      <c r="E15" s="16">
        <f ca="1">IFERROR(__xludf.DUMMYFUNCTION("IMPORTRANGE(""https://docs.google.com/spreadsheets/d/1zz70Lj6oBg1MOPSG6KJcsMeqBNtXMHYICRkg7kpt_d0/edit#gid=1892753874"",""Rekap KTR!$E$8"")"),29)</f>
        <v>29</v>
      </c>
      <c r="F15" s="16">
        <f ca="1">IFERROR(__xludf.DUMMYFUNCTION("IMPORTRANGE(""https://docs.google.com/spreadsheets/d/1zz70Lj6oBg1MOPSG6KJcsMeqBNtXMHYICRkg7kpt_d0/edit#gid=1892753874"",""Rekap KTR!$E$9"")"),3)</f>
        <v>3</v>
      </c>
      <c r="G15" s="16">
        <f ca="1">IFERROR(__xludf.DUMMYFUNCTION("IMPORTRANGE(""https://docs.google.com/spreadsheets/d/1zz70Lj6oBg1MOPSG6KJcsMeqBNtXMHYICRkg7kpt_d0/edit#gid=1892753874"",""Rekap KTR!$E$10"")"),1)</f>
        <v>1</v>
      </c>
      <c r="H15" s="16">
        <f ca="1">IFERROR(__xludf.DUMMYFUNCTION("IMPORTRANGE(""https://docs.google.com/spreadsheets/d/1zz70Lj6oBg1MOPSG6KJcsMeqBNtXMHYICRkg7kpt_d0/edit#gid=1892753874"",""Rekap KTR!$E$11"")"),4)</f>
        <v>4</v>
      </c>
      <c r="I15" s="16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30" t="e">
        <f>#REF!</f>
        <v>#REF!</v>
      </c>
      <c r="C16" s="16">
        <f ca="1">IFERROR(__xludf.DUMMYFUNCTION("IMPORTRANGE(""https://docs.google.com/spreadsheets/d/1773f1iHRnXhbrVjAHR7zUpu3neZdvtp1a2ikB9LJu8U/edit#gid=1522333227"",""Rekap KTR!$E$6"")"),39)</f>
        <v>39</v>
      </c>
      <c r="D16" s="16">
        <f ca="1">IFERROR(__xludf.DUMMYFUNCTION("IMPORTRANGE(""https://docs.google.com/spreadsheets/d/1773f1iHRnXhbrVjAHR7zUpu3neZdvtp1a2ikB9LJu8U/edit#gid=1522333227"",""Rekap KTR!$E$7"")"),43)</f>
        <v>43</v>
      </c>
      <c r="E16" s="16">
        <f ca="1">IFERROR(__xludf.DUMMYFUNCTION("IMPORTRANGE(""https://docs.google.com/spreadsheets/d/1773f1iHRnXhbrVjAHR7zUpu3neZdvtp1a2ikB9LJu8U/edit#gid=1522333227"",""Rekap KTR!$E$8"")"),32)</f>
        <v>32</v>
      </c>
      <c r="F16" s="16">
        <f ca="1">IFERROR(__xludf.DUMMYFUNCTION("IMPORTRANGE(""https://docs.google.com/spreadsheets/d/1773f1iHRnXhbrVjAHR7zUpu3neZdvtp1a2ikB9LJu8U/edit#gid=1522333227"",""Rekap KTR!$E$9"")"),21)</f>
        <v>21</v>
      </c>
      <c r="G16" s="16">
        <f ca="1">IFERROR(__xludf.DUMMYFUNCTION("IMPORTRANGE(""https://docs.google.com/spreadsheets/d/1773f1iHRnXhbrVjAHR7zUpu3neZdvtp1a2ikB9LJu8U/edit#gid=1522333227"",""Rekap KTR!$E$10"")"),0)</f>
        <v>0</v>
      </c>
      <c r="H16" s="16">
        <f ca="1">IFERROR(__xludf.DUMMYFUNCTION("IMPORTRANGE(""https://docs.google.com/spreadsheets/d/1773f1iHRnXhbrVjAHR7zUpu3neZdvtp1a2ikB9LJu8U/edit#gid=1522333227"",""Rekap KTR!$E$11"")"),16)</f>
        <v>16</v>
      </c>
      <c r="I16" s="16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30" t="e">
        <f>#REF!</f>
        <v>#REF!</v>
      </c>
      <c r="C17" s="16">
        <f ca="1">IFERROR(__xludf.DUMMYFUNCTION("IMPORTRANGE(""https://docs.google.com/spreadsheets/d/10iNzN1LqaStEosZKEbqcoOm3IdodNsG31q_nR0Y6WGo/edit#gid=1522333227"",""Rekap KTR!$E$6"")"),1)</f>
        <v>1</v>
      </c>
      <c r="D17" s="16">
        <f ca="1">IFERROR(__xludf.DUMMYFUNCTION("IMPORTRANGE(""https://docs.google.com/spreadsheets/d/10iNzN1LqaStEosZKEbqcoOm3IdodNsG31q_nR0Y6WGo/edit#gid=1522333227"",""Rekap KTR!$E$7"")"),27)</f>
        <v>27</v>
      </c>
      <c r="E17" s="16">
        <f ca="1">IFERROR(__xludf.DUMMYFUNCTION("IMPORTRANGE(""https://docs.google.com/spreadsheets/d/10iNzN1LqaStEosZKEbqcoOm3IdodNsG31q_nR0Y6WGo/edit#gid=1522333227"",""Rekap KTR!$E$8"")"),2)</f>
        <v>2</v>
      </c>
      <c r="F17" s="16">
        <f ca="1">IFERROR(__xludf.DUMMYFUNCTION("IMPORTRANGE(""https://docs.google.com/spreadsheets/d/10iNzN1LqaStEosZKEbqcoOm3IdodNsG31q_nR0Y6WGo/edit#gid=1522333227"",""Rekap KTR!$E$9"")"),3)</f>
        <v>3</v>
      </c>
      <c r="G17" s="16">
        <f ca="1">IFERROR(__xludf.DUMMYFUNCTION("IMPORTRANGE(""https://docs.google.com/spreadsheets/d/10iNzN1LqaStEosZKEbqcoOm3IdodNsG31q_nR0Y6WGo/edit#gid=1522333227"",""Rekap KTR!$E$10"")"),0)</f>
        <v>0</v>
      </c>
      <c r="H17" s="16">
        <f ca="1">IFERROR(__xludf.DUMMYFUNCTION("IMPORTRANGE(""https://docs.google.com/spreadsheets/d/10iNzN1LqaStEosZKEbqcoOm3IdodNsG31q_nR0Y6WGo/edit#gid=1522333227"",""Rekap KTR!$E$11"")"),2)</f>
        <v>2</v>
      </c>
      <c r="I17" s="16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30" t="e">
        <f>#REF!</f>
        <v>#REF!</v>
      </c>
      <c r="C18" s="16">
        <f ca="1">IFERROR(__xludf.DUMMYFUNCTION("IMPORTRANGE(""https://docs.google.com/spreadsheets/d/17PsIU8VcCQeO2M4DM42K9vv32GkafaaF1LxQevQ8tAQ/edit#gid=1892753874"",""Rekap KTR!$E$6"")"),2)</f>
        <v>2</v>
      </c>
      <c r="D18" s="16">
        <f ca="1">IFERROR(__xludf.DUMMYFUNCTION("IMPORTRANGE(""https://docs.google.com/spreadsheets/d/17PsIU8VcCQeO2M4DM42K9vv32GkafaaF1LxQevQ8tAQ/edit#gid=1892753874"",""Rekap KTR!$E$7"")"),21)</f>
        <v>21</v>
      </c>
      <c r="E18" s="16">
        <f ca="1">IFERROR(__xludf.DUMMYFUNCTION("IMPORTRANGE(""https://docs.google.com/spreadsheets/d/17PsIU8VcCQeO2M4DM42K9vv32GkafaaF1LxQevQ8tAQ/edit#gid=1892753874"",""Rekap KTR!$E$8"")"),17)</f>
        <v>17</v>
      </c>
      <c r="F18" s="16">
        <f ca="1">IFERROR(__xludf.DUMMYFUNCTION("IMPORTRANGE(""https://docs.google.com/spreadsheets/d/17PsIU8VcCQeO2M4DM42K9vv32GkafaaF1LxQevQ8tAQ/edit#gid=1892753874"",""Rekap KTR!$E$9"")"),0)</f>
        <v>0</v>
      </c>
      <c r="G18" s="16">
        <f ca="1">IFERROR(__xludf.DUMMYFUNCTION("IMPORTRANGE(""https://docs.google.com/spreadsheets/d/17PsIU8VcCQeO2M4DM42K9vv32GkafaaF1LxQevQ8tAQ/edit#gid=1892753874"",""Rekap KTR!$E$10"")"),0)</f>
        <v>0</v>
      </c>
      <c r="H18" s="16">
        <f ca="1">IFERROR(__xludf.DUMMYFUNCTION("IMPORTRANGE(""https://docs.google.com/spreadsheets/d/17PsIU8VcCQeO2M4DM42K9vv32GkafaaF1LxQevQ8tAQ/edit#gid=1892753874"",""Rekap KTR!$E$11"")"),0)</f>
        <v>0</v>
      </c>
      <c r="I18" s="16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30" t="e">
        <f>#REF!</f>
        <v>#REF!</v>
      </c>
      <c r="C19" s="16">
        <f ca="1">IFERROR(__xludf.DUMMYFUNCTION("IMPORTRANGE(""https://docs.google.com/spreadsheets/d/1d0Y9C6M4-a1TT0nIK2Gc4IXnbVyxoBB3v7o1biNGAwY/edit#gid=1892753874"",""Rekap KTR!$E$6"")"),6)</f>
        <v>6</v>
      </c>
      <c r="D19" s="16">
        <f ca="1">IFERROR(__xludf.DUMMYFUNCTION("IMPORTRANGE(""https://docs.google.com/spreadsheets/d/1d0Y9C6M4-a1TT0nIK2Gc4IXnbVyxoBB3v7o1biNGAwY/edit#gid=1892753874"",""Rekap KTR!$E$7"")"),27)</f>
        <v>27</v>
      </c>
      <c r="E19" s="16">
        <f ca="1">IFERROR(__xludf.DUMMYFUNCTION("IMPORTRANGE(""https://docs.google.com/spreadsheets/d/1d0Y9C6M4-a1TT0nIK2Gc4IXnbVyxoBB3v7o1biNGAwY/edit#gid=1892753874"",""Rekap KTR!$E$8"")"),7)</f>
        <v>7</v>
      </c>
      <c r="F19" s="16">
        <f ca="1">IFERROR(__xludf.DUMMYFUNCTION("IMPORTRANGE(""https://docs.google.com/spreadsheets/d/1d0Y9C6M4-a1TT0nIK2Gc4IXnbVyxoBB3v7o1biNGAwY/edit#gid=1892753874"",""Rekap KTR!$E$9"")"),0)</f>
        <v>0</v>
      </c>
      <c r="G19" s="16">
        <f ca="1">IFERROR(__xludf.DUMMYFUNCTION("IMPORTRANGE(""https://docs.google.com/spreadsheets/d/1d0Y9C6M4-a1TT0nIK2Gc4IXnbVyxoBB3v7o1biNGAwY/edit#gid=1892753874"",""Rekap KTR!$E$10"")"),0)</f>
        <v>0</v>
      </c>
      <c r="H19" s="16">
        <f ca="1">IFERROR(__xludf.DUMMYFUNCTION("IMPORTRANGE(""https://docs.google.com/spreadsheets/d/1d0Y9C6M4-a1TT0nIK2Gc4IXnbVyxoBB3v7o1biNGAwY/edit#gid=1892753874"",""Rekap KTR!$E$11"")"),0)</f>
        <v>0</v>
      </c>
      <c r="I19" s="16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30" t="e">
        <f>#REF!</f>
        <v>#REF!</v>
      </c>
      <c r="C20" s="16">
        <f ca="1">IFERROR(__xludf.DUMMYFUNCTION("IMPORTRANGE(""https://docs.google.com/spreadsheets/d/1fXA1yQzUNddp7fjR2KF22o4rRJu9lP9Ja9Oi1mRbg_E/edit#gid=1892753874"",""Rekap KTR!$E$6"")"),2)</f>
        <v>2</v>
      </c>
      <c r="D20" s="16">
        <f ca="1">IFERROR(__xludf.DUMMYFUNCTION("IMPORTRANGE(""https://docs.google.com/spreadsheets/d/1fXA1yQzUNddp7fjR2KF22o4rRJu9lP9Ja9Oi1mRbg_E/edit#gid=1892753874"",""Rekap KTR!$E$7"")"),31)</f>
        <v>31</v>
      </c>
      <c r="E20" s="16">
        <f ca="1">IFERROR(__xludf.DUMMYFUNCTION("IMPORTRANGE(""https://docs.google.com/spreadsheets/d/1fXA1yQzUNddp7fjR2KF22o4rRJu9lP9Ja9Oi1mRbg_E/edit#gid=1892753874"",""Rekap KTR!$E$8"")"),29)</f>
        <v>29</v>
      </c>
      <c r="F20" s="16">
        <f ca="1">IFERROR(__xludf.DUMMYFUNCTION("IMPORTRANGE(""https://docs.google.com/spreadsheets/d/1fXA1yQzUNddp7fjR2KF22o4rRJu9lP9Ja9Oi1mRbg_E/edit#gid=1892753874"",""Rekap KTR!$E$9"")"),19)</f>
        <v>19</v>
      </c>
      <c r="G20" s="16">
        <f ca="1">IFERROR(__xludf.DUMMYFUNCTION("IMPORTRANGE(""https://docs.google.com/spreadsheets/d/1fXA1yQzUNddp7fjR2KF22o4rRJu9lP9Ja9Oi1mRbg_E/edit#gid=1892753874"",""Rekap KTR!$E$10"")"),1)</f>
        <v>1</v>
      </c>
      <c r="H20" s="16">
        <f ca="1">IFERROR(__xludf.DUMMYFUNCTION("IMPORTRANGE(""https://docs.google.com/spreadsheets/d/1fXA1yQzUNddp7fjR2KF22o4rRJu9lP9Ja9Oi1mRbg_E/edit#gid=1892753874"",""Rekap KTR!$E$11"")"),1)</f>
        <v>1</v>
      </c>
      <c r="I20" s="1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30" t="e">
        <f>#REF!</f>
        <v>#REF!</v>
      </c>
      <c r="C21" s="16">
        <f ca="1">IFERROR(__xludf.DUMMYFUNCTION("IMPORTRANGE(""https://docs.google.com/spreadsheets/d/155aL1qCqCleHwMP0Y8LT5akEbK27R0RIka-lAkeoeEo/edit#gid=1892753874"",""Rekap KTR!$E$6"")"),10)</f>
        <v>10</v>
      </c>
      <c r="D21" s="16">
        <f ca="1">IFERROR(__xludf.DUMMYFUNCTION("IMPORTRANGE(""https://docs.google.com/spreadsheets/d/155aL1qCqCleHwMP0Y8LT5akEbK27R0RIka-lAkeoeEo/edit#gid=1892753874"",""Rekap KTR!$E$7"")"),47)</f>
        <v>47</v>
      </c>
      <c r="E21" s="16">
        <f ca="1">IFERROR(__xludf.DUMMYFUNCTION("IMPORTRANGE(""https://docs.google.com/spreadsheets/d/155aL1qCqCleHwMP0Y8LT5akEbK27R0RIka-lAkeoeEo/edit#gid=1892753874"",""Rekap KTR!$E$8"")"),5)</f>
        <v>5</v>
      </c>
      <c r="F21" s="16" t="str">
        <f ca="1">IFERROR(__xludf.DUMMYFUNCTION("IMPORTRANGE(""https://docs.google.com/spreadsheets/d/155aL1qCqCleHwMP0Y8LT5akEbK27R0RIka-lAkeoeEo/edit#gid=1892753874"",""Rekap KTR!$E$9"")"),"")</f>
        <v/>
      </c>
      <c r="G21" s="16" t="str">
        <f ca="1">IFERROR(__xludf.DUMMYFUNCTION("IMPORTRANGE(""https://docs.google.com/spreadsheets/d/155aL1qCqCleHwMP0Y8LT5akEbK27R0RIka-lAkeoeEo/edit#gid=1892753874"",""Rekap KTR!$E$10"")"),"")</f>
        <v/>
      </c>
      <c r="H21" s="16" t="str">
        <f ca="1">IFERROR(__xludf.DUMMYFUNCTION("IMPORTRANGE(""https://docs.google.com/spreadsheets/d/155aL1qCqCleHwMP0Y8LT5akEbK27R0RIka-lAkeoeEo/edit#gid=1892753874"",""Rekap KTR!$E$11"")"),"")</f>
        <v/>
      </c>
      <c r="I21" s="1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30" t="e">
        <f>#REF!</f>
        <v>#REF!</v>
      </c>
      <c r="C22" s="16">
        <f ca="1">IFERROR(__xludf.DUMMYFUNCTION("IMPORTRANGE(""https://docs.google.com/spreadsheets/d/13FRR1udp0c0o6Nmp_8YHiON78PXr-L4FqQQ028JcBYY/edit#gid=1522333227"",""Rekap KTR!$E$6"")"),7)</f>
        <v>7</v>
      </c>
      <c r="D22" s="16">
        <f ca="1">IFERROR(__xludf.DUMMYFUNCTION("IMPORTRANGE(""https://docs.google.com/spreadsheets/d/13FRR1udp0c0o6Nmp_8YHiON78PXr-L4FqQQ028JcBYY/edit#gid=1522333227"",""Rekap KTR!$E$7"")"),31)</f>
        <v>31</v>
      </c>
      <c r="E22" s="16">
        <f ca="1">IFERROR(__xludf.DUMMYFUNCTION("IMPORTRANGE(""https://docs.google.com/spreadsheets/d/13FRR1udp0c0o6Nmp_8YHiON78PXr-L4FqQQ028JcBYY/edit#gid=1522333227"",""Rekap KTR!$E$8"")"),2)</f>
        <v>2</v>
      </c>
      <c r="F22" s="16" t="str">
        <f ca="1">IFERROR(__xludf.DUMMYFUNCTION("IMPORTRANGE(""https://docs.google.com/spreadsheets/d/13FRR1udp0c0o6Nmp_8YHiON78PXr-L4FqQQ028JcBYY/edit#gid=1522333227"",""Rekap KTR!$E$9"")"),"")</f>
        <v/>
      </c>
      <c r="G22" s="16" t="str">
        <f ca="1">IFERROR(__xludf.DUMMYFUNCTION("IMPORTRANGE(""https://docs.google.com/spreadsheets/d/13FRR1udp0c0o6Nmp_8YHiON78PXr-L4FqQQ028JcBYY/edit#gid=1522333227"",""Rekap KTR!$E$10"")"),"")</f>
        <v/>
      </c>
      <c r="H22" s="16" t="str">
        <f ca="1">IFERROR(__xludf.DUMMYFUNCTION("IMPORTRANGE(""https://docs.google.com/spreadsheets/d/13FRR1udp0c0o6Nmp_8YHiON78PXr-L4FqQQ028JcBYY/edit#gid=1522333227"",""Rekap KTR!$E$11"")"),"")</f>
        <v/>
      </c>
      <c r="I22" s="1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30" t="e">
        <f>#REF!</f>
        <v>#REF!</v>
      </c>
      <c r="C23" s="16">
        <f ca="1">IFERROR(__xludf.DUMMYFUNCTION("IMPORTRANGE(""https://docs.google.com/spreadsheets/d/1PVwe4VvYfj1Vj424c9kO9TcQogsBM6TpXMbFve9togc/edit#gid=1522333227"",""Rekap KTR!$E$6"")"),5)</f>
        <v>5</v>
      </c>
      <c r="D23" s="16">
        <f ca="1">IFERROR(__xludf.DUMMYFUNCTION("IMPORTRANGE(""https://docs.google.com/spreadsheets/d/1PVwe4VvYfj1Vj424c9kO9TcQogsBM6TpXMbFve9togc/edit#gid=1522333227"",""Rekap KTR!$E$7"")"),38)</f>
        <v>38</v>
      </c>
      <c r="E23" s="16">
        <f ca="1">IFERROR(__xludf.DUMMYFUNCTION("IMPORTRANGE(""https://docs.google.com/spreadsheets/d/1PVwe4VvYfj1Vj424c9kO9TcQogsBM6TpXMbFve9togc/edit#gid=1522333227"",""Rekap KTR!$E$8"")"),17)</f>
        <v>17</v>
      </c>
      <c r="F23" s="16">
        <f ca="1">IFERROR(__xludf.DUMMYFUNCTION("IMPORTRANGE(""https://docs.google.com/spreadsheets/d/1PVwe4VvYfj1Vj424c9kO9TcQogsBM6TpXMbFve9togc/edit#gid=1522333227"",""Rekap KTR!$E$9"")"),0)</f>
        <v>0</v>
      </c>
      <c r="G23" s="16">
        <f ca="1">IFERROR(__xludf.DUMMYFUNCTION("IMPORTRANGE(""https://docs.google.com/spreadsheets/d/1PVwe4VvYfj1Vj424c9kO9TcQogsBM6TpXMbFve9togc/edit#gid=1522333227"",""Rekap KTR!$E$10"")"),0)</f>
        <v>0</v>
      </c>
      <c r="H23" s="16">
        <f ca="1">IFERROR(__xludf.DUMMYFUNCTION("IMPORTRANGE(""https://docs.google.com/spreadsheets/d/1PVwe4VvYfj1Vj424c9kO9TcQogsBM6TpXMbFve9togc/edit#gid=1522333227"",""Rekap KTR!$E$11"")"),0)</f>
        <v>0</v>
      </c>
      <c r="I23" s="1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30" t="e">
        <f>#REF!</f>
        <v>#REF!</v>
      </c>
      <c r="C24" s="16" t="str">
        <f ca="1">IFERROR(__xludf.DUMMYFUNCTION("IMPORTRANGE(""https://docs.google.com/spreadsheets/d/15JUTNcWxWGx3Ha8qvwbxgnbDbT4v7N3vZYvqPZ68_Xg/edit#gid=1892753874"",""Rekap KTR!$E$6"")"),"")</f>
        <v/>
      </c>
      <c r="D24" s="16">
        <f ca="1">IFERROR(__xludf.DUMMYFUNCTION("IMPORTRANGE(""https://docs.google.com/spreadsheets/d/15JUTNcWxWGx3Ha8qvwbxgnbDbT4v7N3vZYvqPZ68_Xg/edit#gid=1892753874"",""Rekap KTR!$E$7"")"),19)</f>
        <v>19</v>
      </c>
      <c r="E24" s="16" t="str">
        <f ca="1">IFERROR(__xludf.DUMMYFUNCTION("IMPORTRANGE(""https://docs.google.com/spreadsheets/d/15JUTNcWxWGx3Ha8qvwbxgnbDbT4v7N3vZYvqPZ68_Xg/edit#gid=1892753874"",""Rekap KTR!$E$8"")"),"")</f>
        <v/>
      </c>
      <c r="F24" s="16" t="str">
        <f ca="1">IFERROR(__xludf.DUMMYFUNCTION("IMPORTRANGE(""https://docs.google.com/spreadsheets/d/15JUTNcWxWGx3Ha8qvwbxgnbDbT4v7N3vZYvqPZ68_Xg/edit#gid=1892753874"",""Rekap KTR!$E$9"")"),"")</f>
        <v/>
      </c>
      <c r="G24" s="16" t="str">
        <f ca="1">IFERROR(__xludf.DUMMYFUNCTION("IMPORTRANGE(""https://docs.google.com/spreadsheets/d/15JUTNcWxWGx3Ha8qvwbxgnbDbT4v7N3vZYvqPZ68_Xg/edit#gid=1892753874"",""Rekap KTR!$E$10"")"),"")</f>
        <v/>
      </c>
      <c r="H24" s="16" t="str">
        <f ca="1">IFERROR(__xludf.DUMMYFUNCTION("IMPORTRANGE(""https://docs.google.com/spreadsheets/d/15JUTNcWxWGx3Ha8qvwbxgnbDbT4v7N3vZYvqPZ68_Xg/edit#gid=1892753874"",""Rekap KTR!$E$11"")"),"")</f>
        <v/>
      </c>
      <c r="I24" s="1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79" t="s">
        <v>23</v>
      </c>
      <c r="B1" s="96"/>
      <c r="C1" s="80"/>
      <c r="D1" s="98" t="s">
        <v>34</v>
      </c>
      <c r="E1" s="96"/>
      <c r="F1" s="96"/>
      <c r="G1" s="96"/>
      <c r="H1" s="96"/>
      <c r="I1" s="96"/>
      <c r="J1" s="80"/>
      <c r="K1" s="23"/>
      <c r="L1" s="1"/>
      <c r="M1" s="1"/>
      <c r="N1" s="1"/>
      <c r="O1" s="1"/>
      <c r="P1" s="1"/>
    </row>
    <row r="2" spans="1:16" ht="21" x14ac:dyDescent="0.25">
      <c r="A2" s="81"/>
      <c r="B2" s="95"/>
      <c r="C2" s="82"/>
      <c r="D2" s="81"/>
      <c r="E2" s="95"/>
      <c r="F2" s="95"/>
      <c r="G2" s="95"/>
      <c r="H2" s="95"/>
      <c r="I2" s="95"/>
      <c r="J2" s="82"/>
      <c r="K2" s="23"/>
      <c r="L2" s="1"/>
      <c r="M2" s="1"/>
      <c r="N2" s="1"/>
      <c r="O2" s="1"/>
      <c r="P2" s="1"/>
    </row>
    <row r="3" spans="1:16" ht="21" x14ac:dyDescent="0.25">
      <c r="A3" s="83"/>
      <c r="B3" s="97"/>
      <c r="C3" s="84"/>
      <c r="D3" s="81"/>
      <c r="E3" s="95"/>
      <c r="F3" s="95"/>
      <c r="G3" s="95"/>
      <c r="H3" s="95"/>
      <c r="I3" s="95"/>
      <c r="J3" s="82"/>
      <c r="K3" s="23"/>
      <c r="L3" s="1"/>
      <c r="M3" s="1"/>
      <c r="N3" s="1"/>
      <c r="O3" s="1"/>
      <c r="P3" s="1"/>
    </row>
    <row r="4" spans="1:16" ht="24.75" customHeight="1" x14ac:dyDescent="0.25">
      <c r="A4" s="85" t="s">
        <v>0</v>
      </c>
      <c r="B4" s="99"/>
      <c r="C4" s="86"/>
      <c r="D4" s="83"/>
      <c r="E4" s="97"/>
      <c r="F4" s="97"/>
      <c r="G4" s="97"/>
      <c r="H4" s="97"/>
      <c r="I4" s="97"/>
      <c r="J4" s="84"/>
      <c r="K4" s="23"/>
      <c r="L4" s="1"/>
      <c r="M4" s="1"/>
      <c r="N4" s="1"/>
      <c r="O4" s="1"/>
      <c r="P4" s="1"/>
    </row>
    <row r="6" spans="1:16" ht="22.5" customHeight="1" x14ac:dyDescent="0.25">
      <c r="A6" s="100" t="s">
        <v>35</v>
      </c>
      <c r="B6" s="91"/>
      <c r="C6" s="91"/>
      <c r="D6" s="91"/>
      <c r="E6" s="91"/>
      <c r="F6" s="91"/>
      <c r="G6" s="91"/>
      <c r="H6" s="91"/>
      <c r="I6" s="91"/>
      <c r="J6" s="92"/>
      <c r="K6" s="2"/>
      <c r="L6" s="2"/>
      <c r="M6" s="2"/>
      <c r="N6" s="2"/>
      <c r="O6" s="2"/>
      <c r="P6" s="2"/>
    </row>
    <row r="7" spans="1:16" ht="13.5" x14ac:dyDescent="0.25">
      <c r="A7" s="101" t="s">
        <v>33</v>
      </c>
      <c r="B7" s="101" t="s">
        <v>36</v>
      </c>
      <c r="C7" s="101" t="s">
        <v>37</v>
      </c>
      <c r="D7" s="101" t="s">
        <v>38</v>
      </c>
      <c r="E7" s="102" t="s">
        <v>39</v>
      </c>
      <c r="F7" s="102" t="s">
        <v>40</v>
      </c>
      <c r="G7" s="102" t="s">
        <v>41</v>
      </c>
      <c r="H7" s="93" t="s">
        <v>42</v>
      </c>
      <c r="I7" s="93" t="s">
        <v>43</v>
      </c>
      <c r="J7" s="93" t="s">
        <v>44</v>
      </c>
    </row>
    <row r="8" spans="1:16" ht="15" customHeight="1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6" ht="13.5" x14ac:dyDescent="0.25">
      <c r="A9" s="89"/>
      <c r="B9" s="89"/>
      <c r="C9" s="89"/>
      <c r="D9" s="89"/>
      <c r="E9" s="89"/>
      <c r="F9" s="89"/>
      <c r="G9" s="89"/>
      <c r="H9" s="89"/>
      <c r="I9" s="89"/>
      <c r="J9" s="89"/>
    </row>
    <row r="10" spans="1:16" ht="14.5" x14ac:dyDescent="0.35">
      <c r="A10" s="30" t="e">
        <f>#REF!</f>
        <v>#REF!</v>
      </c>
      <c r="B10" s="16">
        <f ca="1">IFERROR(__xludf.DUMMYFUNCTION("IMPORTRANGE(""https://docs.google.com/spreadsheets/d/1P0UTisakTE5EAx-MYEjY2DmhSnLNqqRm6P3NrlYXL2I/edit#gid=1892753874"",""Rekap UBM!$B$9"")"),1)</f>
        <v>1</v>
      </c>
      <c r="C10" s="16">
        <f ca="1">IFERROR(__xludf.DUMMYFUNCTION("IMPORTRANGE(""https://docs.google.com/spreadsheets/d/1P0UTisakTE5EAx-MYEjY2DmhSnLNqqRm6P3NrlYXL2I/edit#gid=1892753874"",""Rekap UBM!$C$9"")"),1)</f>
        <v>1</v>
      </c>
      <c r="D10" s="31">
        <f t="shared" ref="D10:D25" ca="1" si="0">C10/B10*100</f>
        <v>100</v>
      </c>
      <c r="E10" s="16" t="str">
        <f ca="1">IFERROR(__xludf.DUMMYFUNCTION("IMPORTRANGE(""https://docs.google.com/spreadsheets/d/1P0UTisakTE5EAx-MYEjY2DmhSnLNqqRm6P3NrlYXL2I/edit#gid=1892753874"",""Rekap UBM!$E$9"")"),"")</f>
        <v/>
      </c>
      <c r="F10" s="16" t="str">
        <f ca="1">IFERROR(__xludf.DUMMYFUNCTION("IMPORTRANGE(""https://docs.google.com/spreadsheets/d/1P0UTisakTE5EAx-MYEjY2DmhSnLNqqRm6P3NrlYXL2I/edit#gid=1892753874"",""Rekap UBM!$F$9"")"),"")</f>
        <v/>
      </c>
      <c r="G10" s="31" t="e">
        <f t="shared" ref="G10:G25" ca="1" si="1">F10/E10*100</f>
        <v>#VALUE!</v>
      </c>
      <c r="H10" s="16" t="str">
        <f ca="1">IFERROR(__xludf.DUMMYFUNCTION("IMPORTRANGE(""https://docs.google.com/spreadsheets/d/1P0UTisakTE5EAx-MYEjY2DmhSnLNqqRm6P3NrlYXL2I/edit#gid=1892753874"",""Rekap UBM!$H$9"")"),"")</f>
        <v/>
      </c>
      <c r="I10" s="16" t="str">
        <f ca="1">IFERROR(__xludf.DUMMYFUNCTION("IMPORTRANGE(""https://docs.google.com/spreadsheets/d/1P0UTisakTE5EAx-MYEjY2DmhSnLNqqRm6P3NrlYXL2I/edit#gid=1892753874"",""Rekap UBM!$I$9"")"),"")</f>
        <v/>
      </c>
      <c r="J10" s="31" t="e">
        <f t="shared" ref="J10:J25" ca="1" si="2">I10/H10*100</f>
        <v>#VALUE!</v>
      </c>
    </row>
    <row r="11" spans="1:16" ht="14.5" x14ac:dyDescent="0.35">
      <c r="A11" s="30" t="e">
        <f>#REF!</f>
        <v>#REF!</v>
      </c>
      <c r="B11" s="16">
        <f ca="1">IFERROR(__xludf.DUMMYFUNCTION("IMPORTRANGE(""https://docs.google.com/spreadsheets/d/1jB-UnyPBzGq1HOZkIVtft_Wo28OEKcZNsVgS5r_boTE/edit#gid=1522333227"",""Rekap UBM!$B$9"")"),1)</f>
        <v>1</v>
      </c>
      <c r="C11" s="16">
        <f ca="1">IFERROR(__xludf.DUMMYFUNCTION("IMPORTRANGE(""https://docs.google.com/spreadsheets/d/1jB-UnyPBzGq1HOZkIVtft_Wo28OEKcZNsVgS5r_boTE/edit#gid=1522333227"",""Rekap UBM!$C$9"")"),1)</f>
        <v>1</v>
      </c>
      <c r="D11" s="31">
        <f t="shared" ca="1" si="0"/>
        <v>100</v>
      </c>
      <c r="E11" s="16">
        <f ca="1">IFERROR(__xludf.DUMMYFUNCTION("IMPORTRANGE(""https://docs.google.com/spreadsheets/d/1jB-UnyPBzGq1HOZkIVtft_Wo28OEKcZNsVgS5r_boTE/edit#gid=1522333227"",""Rekap UBM!$E$9"")"),12)</f>
        <v>12</v>
      </c>
      <c r="F11" s="32">
        <f ca="1">IFERROR(__xludf.DUMMYFUNCTION("IMPORTRANGE(""https://docs.google.com/spreadsheets/d/1jB-UnyPBzGq1HOZkIVtft_Wo28OEKcZNsVgS5r_boTE/edit#gid=1522333227"",""Rekap UBM!$F$9"")"),12)</f>
        <v>12</v>
      </c>
      <c r="G11" s="31">
        <f t="shared" ca="1" si="1"/>
        <v>100</v>
      </c>
      <c r="H11" s="32" t="str">
        <f ca="1">IFERROR(__xludf.DUMMYFUNCTION("IMPORTRANGE(""https://docs.google.com/spreadsheets/d/1jB-UnyPBzGq1HOZkIVtft_Wo28OEKcZNsVgS5r_boTE/edit#gid=1522333227"",""Rekap UBM!$H$9"")"),"")</f>
        <v/>
      </c>
      <c r="I11" s="32" t="str">
        <f ca="1">IFERROR(__xludf.DUMMYFUNCTION("IMPORTRANGE(""https://docs.google.com/spreadsheets/d/1jB-UnyPBzGq1HOZkIVtft_Wo28OEKcZNsVgS5r_boTE/edit#gid=1522333227"",""Rekap UBM!$I$9"")"),"")</f>
        <v/>
      </c>
      <c r="J11" s="31" t="e">
        <f t="shared" ca="1" si="2"/>
        <v>#VALUE!</v>
      </c>
    </row>
    <row r="12" spans="1:16" ht="14.5" x14ac:dyDescent="0.35">
      <c r="A12" s="30" t="e">
        <f>#REF!</f>
        <v>#REF!</v>
      </c>
      <c r="B12" s="16">
        <f ca="1">IFERROR(__xludf.DUMMYFUNCTION("IMPORTRANGE(""https://docs.google.com/spreadsheets/d/1gHFrRpJ5fnyxfJI-jxT5z1B1L7rSV8E5sIZEN90Rfhc/edit#gid=1522333227"",""Rekap UBM!$B$9"")"),1)</f>
        <v>1</v>
      </c>
      <c r="C12" s="16">
        <f ca="1">IFERROR(__xludf.DUMMYFUNCTION("IMPORTRANGE(""https://docs.google.com/spreadsheets/d/1gHFrRpJ5fnyxfJI-jxT5z1B1L7rSV8E5sIZEN90Rfhc/edit#gid=1522333227"",""Rekap UBM!$C$9"")"),1)</f>
        <v>1</v>
      </c>
      <c r="D12" s="31">
        <f t="shared" ca="1" si="0"/>
        <v>100</v>
      </c>
      <c r="E12" s="16">
        <f ca="1">IFERROR(__xludf.DUMMYFUNCTION("IMPORTRANGE(""https://docs.google.com/spreadsheets/d/1gHFrRpJ5fnyxfJI-jxT5z1B1L7rSV8E5sIZEN90Rfhc/edit#gid=1522333227"",""Rekap UBM!$E$9"")"),3)</f>
        <v>3</v>
      </c>
      <c r="F12" s="32">
        <f ca="1">IFERROR(__xludf.DUMMYFUNCTION("IMPORTRANGE(""https://docs.google.com/spreadsheets/d/1gHFrRpJ5fnyxfJI-jxT5z1B1L7rSV8E5sIZEN90Rfhc/edit#gid=1522333227"",""Rekap UBM!$F$9"")"),3)</f>
        <v>3</v>
      </c>
      <c r="G12" s="31">
        <f t="shared" ca="1" si="1"/>
        <v>100</v>
      </c>
      <c r="H12" s="32">
        <f ca="1">IFERROR(__xludf.DUMMYFUNCTION("IMPORTRANGE(""https://docs.google.com/spreadsheets/d/1gHFrRpJ5fnyxfJI-jxT5z1B1L7rSV8E5sIZEN90Rfhc/edit#gid=1522333227"",""Rekap UBM!$H$9"")"),6)</f>
        <v>6</v>
      </c>
      <c r="I12" s="32">
        <f ca="1">IFERROR(__xludf.DUMMYFUNCTION("IMPORTRANGE(""https://docs.google.com/spreadsheets/d/1gHFrRpJ5fnyxfJI-jxT5z1B1L7rSV8E5sIZEN90Rfhc/edit#gid=1522333227"",""Rekap UBM!$I$9"")"),6)</f>
        <v>6</v>
      </c>
      <c r="J12" s="31">
        <f t="shared" ca="1" si="2"/>
        <v>100</v>
      </c>
    </row>
    <row r="13" spans="1:16" ht="14.5" x14ac:dyDescent="0.35">
      <c r="A13" s="30" t="e">
        <f>#REF!</f>
        <v>#REF!</v>
      </c>
      <c r="B13" s="16">
        <f ca="1">IFERROR(__xludf.DUMMYFUNCTION("IMPORTRANGE(""https://docs.google.com/spreadsheets/d/1saC2UP2JuYJ7WRPxjh8EMf_BSfGZ18Ous8sVKGLr-Ng/edit#gid=1892753874"",""Rekap UBM!$B$9"")"),1)</f>
        <v>1</v>
      </c>
      <c r="C13" s="16">
        <f ca="1">IFERROR(__xludf.DUMMYFUNCTION("IMPORTRANGE(""https://docs.google.com/spreadsheets/d/1saC2UP2JuYJ7WRPxjh8EMf_BSfGZ18Ous8sVKGLr-Ng/edit#gid=1892753874"",""Rekap UBM!$C$9"")"),1)</f>
        <v>1</v>
      </c>
      <c r="D13" s="31">
        <f t="shared" ca="1" si="0"/>
        <v>100</v>
      </c>
      <c r="E13" s="16">
        <f ca="1">IFERROR(__xludf.DUMMYFUNCTION("IMPORTRANGE(""https://docs.google.com/spreadsheets/d/1saC2UP2JuYJ7WRPxjh8EMf_BSfGZ18Ous8sVKGLr-Ng/edit#gid=1892753874"",""Rekap UBM!$E$9"")"),3)</f>
        <v>3</v>
      </c>
      <c r="F13" s="32">
        <f ca="1">IFERROR(__xludf.DUMMYFUNCTION("IMPORTRANGE(""https://docs.google.com/spreadsheets/d/1saC2UP2JuYJ7WRPxjh8EMf_BSfGZ18Ous8sVKGLr-Ng/edit#gid=1892753874"",""Rekap UBM!$F$9"")"),0)</f>
        <v>0</v>
      </c>
      <c r="G13" s="31">
        <f t="shared" ca="1" si="1"/>
        <v>0</v>
      </c>
      <c r="H13" s="32">
        <f ca="1">IFERROR(__xludf.DUMMYFUNCTION("IMPORTRANGE(""https://docs.google.com/spreadsheets/d/1saC2UP2JuYJ7WRPxjh8EMf_BSfGZ18Ous8sVKGLr-Ng/edit#gid=1892753874"",""Rekap UBM!$H$9"")"),5)</f>
        <v>5</v>
      </c>
      <c r="I13" s="32">
        <f ca="1">IFERROR(__xludf.DUMMYFUNCTION("IMPORTRANGE(""https://docs.google.com/spreadsheets/d/1saC2UP2JuYJ7WRPxjh8EMf_BSfGZ18Ous8sVKGLr-Ng/edit#gid=1892753874"",""Rekap UBM!$I$9"")"),0)</f>
        <v>0</v>
      </c>
      <c r="J13" s="31">
        <f t="shared" ca="1" si="2"/>
        <v>0</v>
      </c>
    </row>
    <row r="14" spans="1:16" ht="14.5" x14ac:dyDescent="0.35">
      <c r="A14" s="30" t="e">
        <f>#REF!</f>
        <v>#REF!</v>
      </c>
      <c r="B14" s="16">
        <f ca="1">IFERROR(__xludf.DUMMYFUNCTION("IMPORTRANGE(""https://docs.google.com/spreadsheets/d/1ApPPV7RPuDI1EDOKjkoDXkV5Yd_NofeQTYTtAHUYGGw/edit#gid=1522333227"",""Rekap UBM!$B$9"")"),1)</f>
        <v>1</v>
      </c>
      <c r="C14" s="16">
        <f ca="1">IFERROR(__xludf.DUMMYFUNCTION("IMPORTRANGE(""https://docs.google.com/spreadsheets/d/1ApPPV7RPuDI1EDOKjkoDXkV5Yd_NofeQTYTtAHUYGGw/edit#gid=1522333227"",""Rekap UBM!$C$9"")"),1)</f>
        <v>1</v>
      </c>
      <c r="D14" s="31">
        <f t="shared" ca="1" si="0"/>
        <v>100</v>
      </c>
      <c r="E14" s="16" t="str">
        <f ca="1">IFERROR(__xludf.DUMMYFUNCTION("IMPORTRANGE(""https://docs.google.com/spreadsheets/d/1ApPPV7RPuDI1EDOKjkoDXkV5Yd_NofeQTYTtAHUYGGw/edit#gid=1522333227"",""Rekap UBM!$E$9"")"),"")</f>
        <v/>
      </c>
      <c r="F14" s="32" t="str">
        <f ca="1">IFERROR(__xludf.DUMMYFUNCTION("IMPORTRANGE(""https://docs.google.com/spreadsheets/d/1ApPPV7RPuDI1EDOKjkoDXkV5Yd_NofeQTYTtAHUYGGw/edit#gid=1522333227"",""Rekap UBM!$F$9"")"),"")</f>
        <v/>
      </c>
      <c r="G14" s="31" t="e">
        <f t="shared" ca="1" si="1"/>
        <v>#VALUE!</v>
      </c>
      <c r="H14" s="32" t="str">
        <f ca="1">IFERROR(__xludf.DUMMYFUNCTION("IMPORTRANGE(""https://docs.google.com/spreadsheets/d/1ApPPV7RPuDI1EDOKjkoDXkV5Yd_NofeQTYTtAHUYGGw/edit#gid=1522333227"",""Rekap UBM!$H$9"")"),"")</f>
        <v/>
      </c>
      <c r="I14" s="32" t="str">
        <f ca="1">IFERROR(__xludf.DUMMYFUNCTION("IMPORTRANGE(""https://docs.google.com/spreadsheets/d/1ApPPV7RPuDI1EDOKjkoDXkV5Yd_NofeQTYTtAHUYGGw/edit#gid=1522333227"",""Rekap UBM!$I$9"")"),"")</f>
        <v/>
      </c>
      <c r="J14" s="31" t="e">
        <f t="shared" ca="1" si="2"/>
        <v>#VALUE!</v>
      </c>
    </row>
    <row r="15" spans="1:16" ht="14.5" x14ac:dyDescent="0.35">
      <c r="A15" s="30" t="e">
        <f>#REF!</f>
        <v>#REF!</v>
      </c>
      <c r="B15" s="16">
        <f ca="1">IFERROR(__xludf.DUMMYFUNCTION("IMPORTRANGE(""https://docs.google.com/spreadsheets/d/1iV_nqIfkAdyO_vl_QARxWbfnGcK2KlCCS94aVJ2QbTI/edit#gid=1522333227"",""Rekap UBM!$B$9"")"),1)</f>
        <v>1</v>
      </c>
      <c r="C15" s="16">
        <f ca="1">IFERROR(__xludf.DUMMYFUNCTION("IMPORTRANGE(""https://docs.google.com/spreadsheets/d/1iV_nqIfkAdyO_vl_QARxWbfnGcK2KlCCS94aVJ2QbTI/edit#gid=1522333227"",""Rekap UBM!$C$9"")"),1)</f>
        <v>1</v>
      </c>
      <c r="D15" s="31">
        <f t="shared" ca="1" si="0"/>
        <v>100</v>
      </c>
      <c r="E15" s="16" t="str">
        <f ca="1">IFERROR(__xludf.DUMMYFUNCTION("IMPORTRANGE(""https://docs.google.com/spreadsheets/d/1iV_nqIfkAdyO_vl_QARxWbfnGcK2KlCCS94aVJ2QbTI/edit#gid=1522333227"",""Rekap UBM!$E$9"")"),"")</f>
        <v/>
      </c>
      <c r="F15" s="32" t="str">
        <f ca="1">IFERROR(__xludf.DUMMYFUNCTION("IMPORTRANGE(""https://docs.google.com/spreadsheets/d/1iV_nqIfkAdyO_vl_QARxWbfnGcK2KlCCS94aVJ2QbTI/edit#gid=1522333227"",""Rekap UBM!$F$9"")"),"")</f>
        <v/>
      </c>
      <c r="G15" s="31" t="e">
        <f t="shared" ca="1" si="1"/>
        <v>#VALUE!</v>
      </c>
      <c r="H15" s="32" t="str">
        <f ca="1">IFERROR(__xludf.DUMMYFUNCTION("IMPORTRANGE(""https://docs.google.com/spreadsheets/d/1iV_nqIfkAdyO_vl_QARxWbfnGcK2KlCCS94aVJ2QbTI/edit#gid=1522333227"",""Rekap UBM!$H$9"")"),"")</f>
        <v/>
      </c>
      <c r="I15" s="32" t="str">
        <f ca="1">IFERROR(__xludf.DUMMYFUNCTION("IMPORTRANGE(""https://docs.google.com/spreadsheets/d/1iV_nqIfkAdyO_vl_QARxWbfnGcK2KlCCS94aVJ2QbTI/edit#gid=1522333227"",""Rekap UBM!$I$9"")"),"")</f>
        <v/>
      </c>
      <c r="J15" s="31" t="e">
        <f t="shared" ca="1" si="2"/>
        <v>#VALUE!</v>
      </c>
    </row>
    <row r="16" spans="1:16" ht="14.5" x14ac:dyDescent="0.35">
      <c r="A16" s="30" t="e">
        <f>#REF!</f>
        <v>#REF!</v>
      </c>
      <c r="B16" s="16">
        <f ca="1">IFERROR(__xludf.DUMMYFUNCTION("IMPORTRANGE(""https://docs.google.com/spreadsheets/d/1zz70Lj6oBg1MOPSG6KJcsMeqBNtXMHYICRkg7kpt_d0/edit#gid=1892753874"",""Rekap UBM!$B$9"")"),1)</f>
        <v>1</v>
      </c>
      <c r="C16" s="16">
        <f ca="1">IFERROR(__xludf.DUMMYFUNCTION("IMPORTRANGE(""https://docs.google.com/spreadsheets/d/1zz70Lj6oBg1MOPSG6KJcsMeqBNtXMHYICRkg7kpt_d0/edit#gid=1892753874"",""Rekap UBM!$C$9"")"),1)</f>
        <v>1</v>
      </c>
      <c r="D16" s="31">
        <f t="shared" ca="1" si="0"/>
        <v>100</v>
      </c>
      <c r="E16" s="16">
        <f ca="1">IFERROR(__xludf.DUMMYFUNCTION("IMPORTRANGE(""https://docs.google.com/spreadsheets/d/1zz70Lj6oBg1MOPSG6KJcsMeqBNtXMHYICRkg7kpt_d0/edit#gid=1892753874"",""Rekap UBM!$E$9"")"),3)</f>
        <v>3</v>
      </c>
      <c r="F16" s="32">
        <f ca="1">IFERROR(__xludf.DUMMYFUNCTION("IMPORTRANGE(""https://docs.google.com/spreadsheets/d/1zz70Lj6oBg1MOPSG6KJcsMeqBNtXMHYICRkg7kpt_d0/edit#gid=1892753874"",""Rekap UBM!$F$9"")"),3)</f>
        <v>3</v>
      </c>
      <c r="G16" s="31">
        <f t="shared" ca="1" si="1"/>
        <v>100</v>
      </c>
      <c r="H16" s="32">
        <f ca="1">IFERROR(__xludf.DUMMYFUNCTION("IMPORTRANGE(""https://docs.google.com/spreadsheets/d/1zz70Lj6oBg1MOPSG6KJcsMeqBNtXMHYICRkg7kpt_d0/edit#gid=1892753874"",""Rekap UBM!$H$9"")"),3)</f>
        <v>3</v>
      </c>
      <c r="I16" s="32">
        <f ca="1">IFERROR(__xludf.DUMMYFUNCTION("IMPORTRANGE(""https://docs.google.com/spreadsheets/d/1zz70Lj6oBg1MOPSG6KJcsMeqBNtXMHYICRkg7kpt_d0/edit#gid=1892753874"",""Rekap UBM!$I$9"")"),3)</f>
        <v>3</v>
      </c>
      <c r="J16" s="31">
        <f t="shared" ca="1" si="2"/>
        <v>100</v>
      </c>
    </row>
    <row r="17" spans="1:10" ht="14.5" x14ac:dyDescent="0.35">
      <c r="A17" s="30" t="e">
        <f>#REF!</f>
        <v>#REF!</v>
      </c>
      <c r="B17" s="16">
        <f ca="1">IFERROR(__xludf.DUMMYFUNCTION("IMPORTRANGE(""https://docs.google.com/spreadsheets/d/1773f1iHRnXhbrVjAHR7zUpu3neZdvtp1a2ikB9LJu8U/edit#gid=1522333227"",""Rekap UBM!$B$9"")"),1)</f>
        <v>1</v>
      </c>
      <c r="C17" s="16">
        <f ca="1">IFERROR(__xludf.DUMMYFUNCTION("IMPORTRANGE(""https://docs.google.com/spreadsheets/d/1773f1iHRnXhbrVjAHR7zUpu3neZdvtp1a2ikB9LJu8U/edit#gid=1522333227"",""Rekap UBM!$C$9"")"),1)</f>
        <v>1</v>
      </c>
      <c r="D17" s="31">
        <f t="shared" ca="1" si="0"/>
        <v>100</v>
      </c>
      <c r="E17" s="16">
        <f ca="1">IFERROR(__xludf.DUMMYFUNCTION("IMPORTRANGE(""https://docs.google.com/spreadsheets/d/1773f1iHRnXhbrVjAHR7zUpu3neZdvtp1a2ikB9LJu8U/edit#gid=1522333227"",""Rekap UBM!$E$9"")"),13)</f>
        <v>13</v>
      </c>
      <c r="F17" s="32">
        <f ca="1">IFERROR(__xludf.DUMMYFUNCTION("IMPORTRANGE(""https://docs.google.com/spreadsheets/d/1773f1iHRnXhbrVjAHR7zUpu3neZdvtp1a2ikB9LJu8U/edit#gid=1522333227"",""Rekap UBM!$F$9"")"),13)</f>
        <v>13</v>
      </c>
      <c r="G17" s="31">
        <f t="shared" ca="1" si="1"/>
        <v>100</v>
      </c>
      <c r="H17" s="32">
        <f ca="1">IFERROR(__xludf.DUMMYFUNCTION("IMPORTRANGE(""https://docs.google.com/spreadsheets/d/1773f1iHRnXhbrVjAHR7zUpu3neZdvtp1a2ikB9LJu8U/edit#gid=1522333227"",""Rekap UBM!$H$9"")"),1)</f>
        <v>1</v>
      </c>
      <c r="I17" s="32">
        <f ca="1">IFERROR(__xludf.DUMMYFUNCTION("IMPORTRANGE(""https://docs.google.com/spreadsheets/d/1773f1iHRnXhbrVjAHR7zUpu3neZdvtp1a2ikB9LJu8U/edit#gid=1522333227"",""Rekap UBM!$I$9"")"),1)</f>
        <v>1</v>
      </c>
      <c r="J17" s="31">
        <f t="shared" ca="1" si="2"/>
        <v>100</v>
      </c>
    </row>
    <row r="18" spans="1:10" ht="14.5" x14ac:dyDescent="0.35">
      <c r="A18" s="30" t="e">
        <f>#REF!</f>
        <v>#REF!</v>
      </c>
      <c r="B18" s="16">
        <f ca="1">IFERROR(__xludf.DUMMYFUNCTION("IMPORTRANGE(""https://docs.google.com/spreadsheets/d/10iNzN1LqaStEosZKEbqcoOm3IdodNsG31q_nR0Y6WGo/edit#gid=1522333227"",""Rekap UBM!$B$9"")"),1)</f>
        <v>1</v>
      </c>
      <c r="C18" s="16">
        <f ca="1">IFERROR(__xludf.DUMMYFUNCTION("IMPORTRANGE(""https://docs.google.com/spreadsheets/d/10iNzN1LqaStEosZKEbqcoOm3IdodNsG31q_nR0Y6WGo/edit#gid=1522333227"",""Rekap UBM!$C$9"")"),1)</f>
        <v>1</v>
      </c>
      <c r="D18" s="31">
        <f t="shared" ca="1" si="0"/>
        <v>100</v>
      </c>
      <c r="E18" s="16" t="str">
        <f ca="1">IFERROR(__xludf.DUMMYFUNCTION("IMPORTRANGE(""https://docs.google.com/spreadsheets/d/10iNzN1LqaStEosZKEbqcoOm3IdodNsG31q_nR0Y6WGo/edit#gid=1522333227"",""Rekap UBM!$E$9"")"),"")</f>
        <v/>
      </c>
      <c r="F18" s="32" t="str">
        <f ca="1">IFERROR(__xludf.DUMMYFUNCTION("IMPORTRANGE(""https://docs.google.com/spreadsheets/d/10iNzN1LqaStEosZKEbqcoOm3IdodNsG31q_nR0Y6WGo/edit#gid=1522333227"",""Rekap UBM!$F$9"")"),"")</f>
        <v/>
      </c>
      <c r="G18" s="31" t="e">
        <f t="shared" ca="1" si="1"/>
        <v>#VALUE!</v>
      </c>
      <c r="H18" s="32" t="str">
        <f ca="1">IFERROR(__xludf.DUMMYFUNCTION("IMPORTRANGE(""https://docs.google.com/spreadsheets/d/10iNzN1LqaStEosZKEbqcoOm3IdodNsG31q_nR0Y6WGo/edit#gid=1522333227"",""Rekap UBM!$H$9"")"),"")</f>
        <v/>
      </c>
      <c r="I18" s="32" t="str">
        <f ca="1">IFERROR(__xludf.DUMMYFUNCTION("IMPORTRANGE(""https://docs.google.com/spreadsheets/d/10iNzN1LqaStEosZKEbqcoOm3IdodNsG31q_nR0Y6WGo/edit#gid=1522333227"",""Rekap UBM!$I$9"")"),"")</f>
        <v/>
      </c>
      <c r="J18" s="31" t="e">
        <f t="shared" ca="1" si="2"/>
        <v>#VALUE!</v>
      </c>
    </row>
    <row r="19" spans="1:10" ht="14.5" x14ac:dyDescent="0.35">
      <c r="A19" s="30" t="e">
        <f>#REF!</f>
        <v>#REF!</v>
      </c>
      <c r="B19" s="16">
        <f ca="1">IFERROR(__xludf.DUMMYFUNCTION("IMPORTRANGE(""https://docs.google.com/spreadsheets/d/17PsIU8VcCQeO2M4DM42K9vv32GkafaaF1LxQevQ8tAQ/edit#gid=1892753874"",""Rekap UBM!$B$9"")"),1)</f>
        <v>1</v>
      </c>
      <c r="C19" s="16">
        <f ca="1">IFERROR(__xludf.DUMMYFUNCTION("IMPORTRANGE(""https://docs.google.com/spreadsheets/d/17PsIU8VcCQeO2M4DM42K9vv32GkafaaF1LxQevQ8tAQ/edit#gid=1892753874"",""Rekap UBM!$C$9"")"),0)</f>
        <v>0</v>
      </c>
      <c r="D19" s="31">
        <f t="shared" ca="1" si="0"/>
        <v>0</v>
      </c>
      <c r="E19" s="16" t="str">
        <f ca="1">IFERROR(__xludf.DUMMYFUNCTION("IMPORTRANGE(""https://docs.google.com/spreadsheets/d/17PsIU8VcCQeO2M4DM42K9vv32GkafaaF1LxQevQ8tAQ/edit#gid=1892753874"",""Rekap UBM!$E$9"")"),"")</f>
        <v/>
      </c>
      <c r="F19" s="32" t="str">
        <f ca="1">IFERROR(__xludf.DUMMYFUNCTION("IMPORTRANGE(""https://docs.google.com/spreadsheets/d/17PsIU8VcCQeO2M4DM42K9vv32GkafaaF1LxQevQ8tAQ/edit#gid=1892753874"",""Rekap UBM!$F$9"")"),"")</f>
        <v/>
      </c>
      <c r="G19" s="31" t="e">
        <f t="shared" ca="1" si="1"/>
        <v>#VALUE!</v>
      </c>
      <c r="H19" s="32" t="str">
        <f ca="1">IFERROR(__xludf.DUMMYFUNCTION("IMPORTRANGE(""https://docs.google.com/spreadsheets/d/17PsIU8VcCQeO2M4DM42K9vv32GkafaaF1LxQevQ8tAQ/edit#gid=1892753874"",""Rekap UBM!$H$9"")"),"")</f>
        <v/>
      </c>
      <c r="I19" s="32" t="str">
        <f ca="1">IFERROR(__xludf.DUMMYFUNCTION("IMPORTRANGE(""https://docs.google.com/spreadsheets/d/17PsIU8VcCQeO2M4DM42K9vv32GkafaaF1LxQevQ8tAQ/edit#gid=1892753874"",""Rekap UBM!$I$9"")"),"")</f>
        <v/>
      </c>
      <c r="J19" s="31" t="e">
        <f t="shared" ca="1" si="2"/>
        <v>#VALUE!</v>
      </c>
    </row>
    <row r="20" spans="1:10" ht="14.5" x14ac:dyDescent="0.35">
      <c r="A20" s="30" t="e">
        <f>#REF!</f>
        <v>#REF!</v>
      </c>
      <c r="B20" s="16">
        <f ca="1">IFERROR(__xludf.DUMMYFUNCTION("IMPORTRANGE(""https://docs.google.com/spreadsheets/d/1d0Y9C6M4-a1TT0nIK2Gc4IXnbVyxoBB3v7o1biNGAwY/edit#gid=1892753874"",""Rekap UBM!$B$9"")"),1)</f>
        <v>1</v>
      </c>
      <c r="C20" s="16">
        <f ca="1">IFERROR(__xludf.DUMMYFUNCTION("IMPORTRANGE(""https://docs.google.com/spreadsheets/d/1d0Y9C6M4-a1TT0nIK2Gc4IXnbVyxoBB3v7o1biNGAwY/edit#gid=1892753874"",""Rekap UBM!$C$9"")"),1)</f>
        <v>1</v>
      </c>
      <c r="D20" s="31">
        <f t="shared" ca="1" si="0"/>
        <v>100</v>
      </c>
      <c r="E20" s="16">
        <f ca="1">IFERROR(__xludf.DUMMYFUNCTION("IMPORTRANGE(""https://docs.google.com/spreadsheets/d/1d0Y9C6M4-a1TT0nIK2Gc4IXnbVyxoBB3v7o1biNGAwY/edit#gid=1892753874"",""Rekap UBM!$E$9"")"),6)</f>
        <v>6</v>
      </c>
      <c r="F20" s="32">
        <f ca="1">IFERROR(__xludf.DUMMYFUNCTION("IMPORTRANGE(""https://docs.google.com/spreadsheets/d/1d0Y9C6M4-a1TT0nIK2Gc4IXnbVyxoBB3v7o1biNGAwY/edit#gid=1892753874"",""Rekap UBM!$F$9"")"),0)</f>
        <v>0</v>
      </c>
      <c r="G20" s="31">
        <f t="shared" ca="1" si="1"/>
        <v>0</v>
      </c>
      <c r="H20" s="32" t="str">
        <f ca="1">IFERROR(__xludf.DUMMYFUNCTION("IMPORTRANGE(""https://docs.google.com/spreadsheets/d/1d0Y9C6M4-a1TT0nIK2Gc4IXnbVyxoBB3v7o1biNGAwY/edit#gid=1892753874"",""Rekap UBM!$H$9"")"),"")</f>
        <v/>
      </c>
      <c r="I20" s="32">
        <f ca="1">IFERROR(__xludf.DUMMYFUNCTION("IMPORTRANGE(""https://docs.google.com/spreadsheets/d/1d0Y9C6M4-a1TT0nIK2Gc4IXnbVyxoBB3v7o1biNGAwY/edit#gid=1892753874"",""Rekap UBM!$I$9"")"),0)</f>
        <v>0</v>
      </c>
      <c r="J20" s="31" t="e">
        <f t="shared" ca="1" si="2"/>
        <v>#VALUE!</v>
      </c>
    </row>
    <row r="21" spans="1:10" ht="15.75" customHeight="1" x14ac:dyDescent="0.35">
      <c r="A21" s="30" t="e">
        <f>#REF!</f>
        <v>#REF!</v>
      </c>
      <c r="B21" s="16">
        <f ca="1">IFERROR(__xludf.DUMMYFUNCTION("IMPORTRANGE(""https://docs.google.com/spreadsheets/d/1fXA1yQzUNddp7fjR2KF22o4rRJu9lP9Ja9Oi1mRbg_E/edit#gid=1892753874"",""Rekap UBM!$B$9"")"),1)</f>
        <v>1</v>
      </c>
      <c r="C21" s="16">
        <f ca="1">IFERROR(__xludf.DUMMYFUNCTION("IMPORTRANGE(""https://docs.google.com/spreadsheets/d/1fXA1yQzUNddp7fjR2KF22o4rRJu9lP9Ja9Oi1mRbg_E/edit#gid=1892753874"",""Rekap UBM!$C$9"")"),1)</f>
        <v>1</v>
      </c>
      <c r="D21" s="31">
        <f t="shared" ca="1" si="0"/>
        <v>100</v>
      </c>
      <c r="E21" s="16">
        <f ca="1">IFERROR(__xludf.DUMMYFUNCTION("IMPORTRANGE(""https://docs.google.com/spreadsheets/d/1fXA1yQzUNddp7fjR2KF22o4rRJu9lP9Ja9Oi1mRbg_E/edit#gid=1892753874"",""Rekap UBM!$E$9"")"),1)</f>
        <v>1</v>
      </c>
      <c r="F21" s="32">
        <f ca="1">IFERROR(__xludf.DUMMYFUNCTION("IMPORTRANGE(""https://docs.google.com/spreadsheets/d/1fXA1yQzUNddp7fjR2KF22o4rRJu9lP9Ja9Oi1mRbg_E/edit#gid=1892753874"",""Rekap UBM!$F$9"")"),1)</f>
        <v>1</v>
      </c>
      <c r="G21" s="31">
        <f t="shared" ca="1" si="1"/>
        <v>100</v>
      </c>
      <c r="H21" s="32" t="str">
        <f ca="1">IFERROR(__xludf.DUMMYFUNCTION("IMPORTRANGE(""https://docs.google.com/spreadsheets/d/1fXA1yQzUNddp7fjR2KF22o4rRJu9lP9Ja9Oi1mRbg_E/edit#gid=1892753874"",""Rekap UBM!$H$9"")"),"")</f>
        <v/>
      </c>
      <c r="I21" s="32" t="str">
        <f ca="1">IFERROR(__xludf.DUMMYFUNCTION("IMPORTRANGE(""https://docs.google.com/spreadsheets/d/1fXA1yQzUNddp7fjR2KF22o4rRJu9lP9Ja9Oi1mRbg_E/edit#gid=1892753874"",""Rekap UBM!$I$9"")"),"")</f>
        <v/>
      </c>
      <c r="J21" s="31" t="e">
        <f t="shared" ca="1" si="2"/>
        <v>#VALUE!</v>
      </c>
    </row>
    <row r="22" spans="1:10" ht="15.75" customHeight="1" x14ac:dyDescent="0.35">
      <c r="A22" s="30" t="e">
        <f>#REF!</f>
        <v>#REF!</v>
      </c>
      <c r="B22" s="16">
        <f ca="1">IFERROR(__xludf.DUMMYFUNCTION("IMPORTRANGE(""https://docs.google.com/spreadsheets/d/155aL1qCqCleHwMP0Y8LT5akEbK27R0RIka-lAkeoeEo/edit#gid=1892753874"",""Rekap UBM!$B$9"")"),1)</f>
        <v>1</v>
      </c>
      <c r="C22" s="16">
        <f ca="1">IFERROR(__xludf.DUMMYFUNCTION("IMPORTRANGE(""https://docs.google.com/spreadsheets/d/155aL1qCqCleHwMP0Y8LT5akEbK27R0RIka-lAkeoeEo/edit#gid=1892753874"",""Rekap UBM!$C$9"")"),1)</f>
        <v>1</v>
      </c>
      <c r="D22" s="31">
        <f t="shared" ca="1" si="0"/>
        <v>100</v>
      </c>
      <c r="E22" s="16">
        <f ca="1">IFERROR(__xludf.DUMMYFUNCTION("IMPORTRANGE(""https://docs.google.com/spreadsheets/d/155aL1qCqCleHwMP0Y8LT5akEbK27R0RIka-lAkeoeEo/edit#gid=1892753874"",""Rekap UBM!$E$9"")"),7)</f>
        <v>7</v>
      </c>
      <c r="F22" s="32">
        <f ca="1">IFERROR(__xludf.DUMMYFUNCTION("IMPORTRANGE(""https://docs.google.com/spreadsheets/d/155aL1qCqCleHwMP0Y8LT5akEbK27R0RIka-lAkeoeEo/edit#gid=1892753874"",""Rekap UBM!$F$9"")"),0)</f>
        <v>0</v>
      </c>
      <c r="G22" s="31">
        <f t="shared" ca="1" si="1"/>
        <v>0</v>
      </c>
      <c r="H22" s="32">
        <f ca="1">IFERROR(__xludf.DUMMYFUNCTION("IMPORTRANGE(""https://docs.google.com/spreadsheets/d/155aL1qCqCleHwMP0Y8LT5akEbK27R0RIka-lAkeoeEo/edit#gid=1892753874"",""Rekap UBM!$H$9"")"),2)</f>
        <v>2</v>
      </c>
      <c r="I22" s="32">
        <f ca="1">IFERROR(__xludf.DUMMYFUNCTION("IMPORTRANGE(""https://docs.google.com/spreadsheets/d/155aL1qCqCleHwMP0Y8LT5akEbK27R0RIka-lAkeoeEo/edit#gid=1892753874"",""Rekap UBM!$I$9"")"),0)</f>
        <v>0</v>
      </c>
      <c r="J22" s="31">
        <f t="shared" ca="1" si="2"/>
        <v>0</v>
      </c>
    </row>
    <row r="23" spans="1:10" ht="15.75" customHeight="1" x14ac:dyDescent="0.35">
      <c r="A23" s="30" t="e">
        <f>#REF!</f>
        <v>#REF!</v>
      </c>
      <c r="B23" s="16">
        <f ca="1">IFERROR(__xludf.DUMMYFUNCTION("IMPORTRANGE(""https://docs.google.com/spreadsheets/d/13FRR1udp0c0o6Nmp_8YHiON78PXr-L4FqQQ028JcBYY/edit#gid=1522333227"",""Rekap UBM!$B$9"")"),1)</f>
        <v>1</v>
      </c>
      <c r="C23" s="16">
        <f ca="1">IFERROR(__xludf.DUMMYFUNCTION("IMPORTRANGE(""https://docs.google.com/spreadsheets/d/13FRR1udp0c0o6Nmp_8YHiON78PXr-L4FqQQ028JcBYY/edit#gid=1522333227"",""Rekap UBM!$C$9"")"),1)</f>
        <v>1</v>
      </c>
      <c r="D23" s="31">
        <f t="shared" ca="1" si="0"/>
        <v>100</v>
      </c>
      <c r="E23" s="16">
        <f ca="1">IFERROR(__xludf.DUMMYFUNCTION("IMPORTRANGE(""https://docs.google.com/spreadsheets/d/13FRR1udp0c0o6Nmp_8YHiON78PXr-L4FqQQ028JcBYY/edit#gid=1522333227"",""Rekap UBM!$E$9"")"),0)</f>
        <v>0</v>
      </c>
      <c r="F23" s="32">
        <f ca="1">IFERROR(__xludf.DUMMYFUNCTION("IMPORTRANGE(""https://docs.google.com/spreadsheets/d/13FRR1udp0c0o6Nmp_8YHiON78PXr-L4FqQQ028JcBYY/edit#gid=1522333227"",""Rekap UBM!$F$9"")"),0)</f>
        <v>0</v>
      </c>
      <c r="G23" s="31" t="e">
        <f t="shared" ca="1" si="1"/>
        <v>#DIV/0!</v>
      </c>
      <c r="H23" s="32">
        <f ca="1">IFERROR(__xludf.DUMMYFUNCTION("IMPORTRANGE(""https://docs.google.com/spreadsheets/d/13FRR1udp0c0o6Nmp_8YHiON78PXr-L4FqQQ028JcBYY/edit#gid=1522333227"",""Rekap UBM!$H$9"")"),0)</f>
        <v>0</v>
      </c>
      <c r="I23" s="32">
        <f ca="1">IFERROR(__xludf.DUMMYFUNCTION("IMPORTRANGE(""https://docs.google.com/spreadsheets/d/13FRR1udp0c0o6Nmp_8YHiON78PXr-L4FqQQ028JcBYY/edit#gid=1522333227"",""Rekap UBM!$I$9"")"),0)</f>
        <v>0</v>
      </c>
      <c r="J23" s="31" t="e">
        <f t="shared" ca="1" si="2"/>
        <v>#DIV/0!</v>
      </c>
    </row>
    <row r="24" spans="1:10" ht="15.75" customHeight="1" x14ac:dyDescent="0.35">
      <c r="A24" s="30" t="e">
        <f>#REF!</f>
        <v>#REF!</v>
      </c>
      <c r="B24" s="16">
        <f ca="1">IFERROR(__xludf.DUMMYFUNCTION("IMPORTRANGE(""https://docs.google.com/spreadsheets/d/1PVwe4VvYfj1Vj424c9kO9TcQogsBM6TpXMbFve9togc/edit#gid=1522333227"",""Rekap UBM!$B$9"")"),1)</f>
        <v>1</v>
      </c>
      <c r="C24" s="16">
        <f ca="1">IFERROR(__xludf.DUMMYFUNCTION("IMPORTRANGE(""https://docs.google.com/spreadsheets/d/1PVwe4VvYfj1Vj424c9kO9TcQogsBM6TpXMbFve9togc/edit#gid=1522333227"",""Rekap UBM!$C$9"")"),1)</f>
        <v>1</v>
      </c>
      <c r="D24" s="31">
        <f t="shared" ca="1" si="0"/>
        <v>100</v>
      </c>
      <c r="E24" s="16">
        <f ca="1">IFERROR(__xludf.DUMMYFUNCTION("IMPORTRANGE(""https://docs.google.com/spreadsheets/d/1PVwe4VvYfj1Vj424c9kO9TcQogsBM6TpXMbFve9togc/edit#gid=1522333227"",""Rekap UBM!$E$9"")"),3)</f>
        <v>3</v>
      </c>
      <c r="F24" s="32">
        <f ca="1">IFERROR(__xludf.DUMMYFUNCTION("IMPORTRANGE(""https://docs.google.com/spreadsheets/d/1PVwe4VvYfj1Vj424c9kO9TcQogsBM6TpXMbFve9togc/edit#gid=1522333227"",""Rekap UBM!$F$9"")"),0)</f>
        <v>0</v>
      </c>
      <c r="G24" s="31">
        <f t="shared" ca="1" si="1"/>
        <v>0</v>
      </c>
      <c r="H24" s="32">
        <f ca="1">IFERROR(__xludf.DUMMYFUNCTION("IMPORTRANGE(""https://docs.google.com/spreadsheets/d/1PVwe4VvYfj1Vj424c9kO9TcQogsBM6TpXMbFve9togc/edit#gid=1522333227"",""Rekap UBM!$H$9"")"),0)</f>
        <v>0</v>
      </c>
      <c r="I24" s="32">
        <f ca="1">IFERROR(__xludf.DUMMYFUNCTION("IMPORTRANGE(""https://docs.google.com/spreadsheets/d/1PVwe4VvYfj1Vj424c9kO9TcQogsBM6TpXMbFve9togc/edit#gid=1522333227"",""Rekap UBM!$I$9"")"),0)</f>
        <v>0</v>
      </c>
      <c r="J24" s="31" t="e">
        <f t="shared" ca="1" si="2"/>
        <v>#DIV/0!</v>
      </c>
    </row>
    <row r="25" spans="1:10" ht="15.75" customHeight="1" x14ac:dyDescent="0.35">
      <c r="A25" s="30" t="e">
        <f>#REF!</f>
        <v>#REF!</v>
      </c>
      <c r="B25" s="16">
        <f ca="1">IFERROR(__xludf.DUMMYFUNCTION("IMPORTRANGE(""https://docs.google.com/spreadsheets/d/15JUTNcWxWGx3Ha8qvwbxgnbDbT4v7N3vZYvqPZ68_Xg/edit#gid=1892753874"",""Rekap UBM!$B$9"")"),1)</f>
        <v>1</v>
      </c>
      <c r="C25" s="16">
        <f ca="1">IFERROR(__xludf.DUMMYFUNCTION("IMPORTRANGE(""https://docs.google.com/spreadsheets/d/15JUTNcWxWGx3Ha8qvwbxgnbDbT4v7N3vZYvqPZ68_Xg/edit#gid=1892753874"",""Rekap UBM!$C$9"")"),1)</f>
        <v>1</v>
      </c>
      <c r="D25" s="31">
        <f t="shared" ca="1" si="0"/>
        <v>100</v>
      </c>
      <c r="E25" s="16" t="str">
        <f ca="1">IFERROR(__xludf.DUMMYFUNCTION("IMPORTRANGE(""https://docs.google.com/spreadsheets/d/15JUTNcWxWGx3Ha8qvwbxgnbDbT4v7N3vZYvqPZ68_Xg/edit#gid=1892753874"",""Rekap UBM!$E$9"")"),"")</f>
        <v/>
      </c>
      <c r="F25" s="32" t="str">
        <f ca="1">IFERROR(__xludf.DUMMYFUNCTION("IMPORTRANGE(""https://docs.google.com/spreadsheets/d/15JUTNcWxWGx3Ha8qvwbxgnbDbT4v7N3vZYvqPZ68_Xg/edit#gid=1892753874"",""Rekap UBM!$F$9"")"),"")</f>
        <v/>
      </c>
      <c r="G25" s="31" t="e">
        <f t="shared" ca="1" si="1"/>
        <v>#VALUE!</v>
      </c>
      <c r="H25" s="32" t="str">
        <f ca="1">IFERROR(__xludf.DUMMYFUNCTION("IMPORTRANGE(""https://docs.google.com/spreadsheets/d/15JUTNcWxWGx3Ha8qvwbxgnbDbT4v7N3vZYvqPZ68_Xg/edit#gid=1892753874"",""Rekap UBM!$H$9"")"),"")</f>
        <v/>
      </c>
      <c r="I25" s="32" t="str">
        <f ca="1">IFERROR(__xludf.DUMMYFUNCTION("IMPORTRANGE(""https://docs.google.com/spreadsheets/d/15JUTNcWxWGx3Ha8qvwbxgnbDbT4v7N3vZYvqPZ68_Xg/edit#gid=1892753874"",""Rekap UBM!$I$9"")"),"")</f>
        <v/>
      </c>
      <c r="J25" s="31" t="e">
        <f t="shared" ca="1" si="2"/>
        <v>#VALUE!</v>
      </c>
    </row>
    <row r="26" spans="1:10" ht="15.75" customHeight="1" x14ac:dyDescent="0.25"/>
    <row r="27" spans="1:10" ht="15.75" customHeight="1" x14ac:dyDescent="0.35">
      <c r="B27" s="33" t="s">
        <v>45</v>
      </c>
      <c r="C27" s="3"/>
      <c r="D27" s="94" t="s">
        <v>46</v>
      </c>
      <c r="E27" s="95"/>
      <c r="F27" s="95"/>
      <c r="G27" s="95"/>
      <c r="H27" s="95"/>
      <c r="I27" s="95"/>
    </row>
    <row r="28" spans="1:10" ht="15.75" customHeight="1" x14ac:dyDescent="0.35">
      <c r="B28" s="3"/>
      <c r="C28" s="3"/>
      <c r="D28" s="95"/>
      <c r="E28" s="95"/>
      <c r="F28" s="95"/>
      <c r="G28" s="95"/>
      <c r="H28" s="95"/>
      <c r="I28" s="95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BL1000"/>
  <sheetViews>
    <sheetView showGridLine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12" sqref="G12:G15"/>
    </sheetView>
  </sheetViews>
  <sheetFormatPr defaultColWidth="11.2109375" defaultRowHeight="15" customHeight="1" x14ac:dyDescent="0.25"/>
  <cols>
    <col min="1" max="1" width="4.78515625" customWidth="1"/>
    <col min="2" max="2" width="14.35546875" customWidth="1"/>
    <col min="3" max="4" width="10.140625" customWidth="1"/>
    <col min="5" max="5" width="15.140625" customWidth="1"/>
    <col min="6" max="6" width="9.5703125" customWidth="1"/>
    <col min="7" max="7" width="11.5703125" customWidth="1"/>
    <col min="8" max="8" width="11.640625" customWidth="1"/>
    <col min="9" max="9" width="8.640625" customWidth="1"/>
    <col min="10" max="11" width="9" customWidth="1"/>
    <col min="12" max="12" width="12.35546875" customWidth="1"/>
    <col min="13" max="13" width="16.85546875" customWidth="1"/>
    <col min="14" max="14" width="6.78515625" customWidth="1"/>
    <col min="15" max="15" width="7.42578125" customWidth="1"/>
    <col min="16" max="16" width="20.640625" customWidth="1"/>
    <col min="17" max="17" width="6.78515625" customWidth="1"/>
    <col min="18" max="18" width="10" customWidth="1"/>
    <col min="19" max="19" width="15.140625" customWidth="1"/>
    <col min="20" max="20" width="6.78515625" customWidth="1"/>
    <col min="21" max="21" width="7.78515625" customWidth="1"/>
    <col min="22" max="22" width="10.42578125" customWidth="1"/>
    <col min="23" max="23" width="6.78515625" customWidth="1"/>
    <col min="24" max="24" width="10.85546875" customWidth="1"/>
    <col min="25" max="43" width="6.78515625" customWidth="1"/>
    <col min="44" max="44" width="7.85546875" customWidth="1"/>
    <col min="45" max="45" width="10.140625" customWidth="1"/>
    <col min="46" max="64" width="6.78515625" customWidth="1"/>
  </cols>
  <sheetData>
    <row r="1" spans="1:64" ht="6.75" customHeight="1" x14ac:dyDescent="0.35">
      <c r="A1" s="79"/>
      <c r="B1" s="80"/>
      <c r="C1" s="120" t="s">
        <v>47</v>
      </c>
      <c r="D1" s="96"/>
      <c r="E1" s="96"/>
      <c r="F1" s="96"/>
      <c r="G1" s="96"/>
      <c r="H1" s="80"/>
      <c r="I1" s="121"/>
      <c r="J1" s="17"/>
      <c r="K1" s="17"/>
      <c r="L1" s="17"/>
      <c r="M1" s="1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.5" x14ac:dyDescent="0.35">
      <c r="A2" s="81"/>
      <c r="B2" s="82"/>
      <c r="C2" s="81"/>
      <c r="D2" s="95"/>
      <c r="E2" s="95"/>
      <c r="F2" s="95"/>
      <c r="G2" s="95"/>
      <c r="H2" s="82"/>
      <c r="I2" s="122"/>
      <c r="J2" s="17"/>
      <c r="K2" s="17"/>
      <c r="L2" s="17"/>
      <c r="M2" s="17"/>
      <c r="N2" s="3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9" customHeight="1" x14ac:dyDescent="0.35">
      <c r="A3" s="83"/>
      <c r="B3" s="84"/>
      <c r="C3" s="81"/>
      <c r="D3" s="95"/>
      <c r="E3" s="95"/>
      <c r="F3" s="95"/>
      <c r="G3" s="95"/>
      <c r="H3" s="82"/>
      <c r="I3" s="123"/>
      <c r="J3" s="17"/>
      <c r="K3" s="17"/>
      <c r="L3" s="17"/>
      <c r="M3" s="17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spans="1:64" ht="19.5" customHeight="1" x14ac:dyDescent="0.35">
      <c r="A4" s="124"/>
      <c r="B4" s="86"/>
      <c r="C4" s="83"/>
      <c r="D4" s="97"/>
      <c r="E4" s="97"/>
      <c r="F4" s="97"/>
      <c r="G4" s="97"/>
      <c r="H4" s="84"/>
      <c r="I4" s="35"/>
      <c r="J4" s="125"/>
      <c r="K4" s="86"/>
      <c r="L4" s="4"/>
      <c r="M4" s="4"/>
      <c r="N4" s="3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13.5" x14ac:dyDescent="0.25">
      <c r="A5" s="126" t="s">
        <v>1</v>
      </c>
      <c r="B5" s="127" t="s">
        <v>2</v>
      </c>
      <c r="C5" s="115" t="s">
        <v>48</v>
      </c>
      <c r="D5" s="115" t="s">
        <v>49</v>
      </c>
      <c r="E5" s="115" t="s">
        <v>50</v>
      </c>
      <c r="F5" s="115" t="s">
        <v>51</v>
      </c>
      <c r="G5" s="115" t="s">
        <v>52</v>
      </c>
      <c r="H5" s="115" t="s">
        <v>53</v>
      </c>
      <c r="I5" s="115" t="s">
        <v>54</v>
      </c>
      <c r="J5" s="115" t="s">
        <v>55</v>
      </c>
      <c r="K5" s="115" t="s">
        <v>56</v>
      </c>
      <c r="L5" s="129" t="s">
        <v>57</v>
      </c>
      <c r="M5" s="129" t="s">
        <v>58</v>
      </c>
      <c r="N5" s="130" t="s">
        <v>59</v>
      </c>
      <c r="O5" s="131" t="s">
        <v>60</v>
      </c>
      <c r="P5" s="131" t="s">
        <v>61</v>
      </c>
      <c r="Q5" s="132" t="s">
        <v>59</v>
      </c>
      <c r="R5" s="134" t="s">
        <v>62</v>
      </c>
      <c r="S5" s="134" t="s">
        <v>63</v>
      </c>
      <c r="T5" s="134" t="s">
        <v>59</v>
      </c>
      <c r="U5" s="133" t="s">
        <v>64</v>
      </c>
      <c r="V5" s="133" t="s">
        <v>65</v>
      </c>
      <c r="W5" s="116" t="s">
        <v>59</v>
      </c>
      <c r="X5" s="133" t="s">
        <v>66</v>
      </c>
      <c r="Y5" s="116" t="s">
        <v>59</v>
      </c>
      <c r="Z5" s="117" t="s">
        <v>67</v>
      </c>
      <c r="AA5" s="110"/>
      <c r="AB5" s="111"/>
      <c r="AC5" s="118" t="s">
        <v>68</v>
      </c>
      <c r="AD5" s="110"/>
      <c r="AE5" s="110"/>
      <c r="AF5" s="110"/>
      <c r="AG5" s="110"/>
      <c r="AH5" s="111"/>
      <c r="AI5" s="117" t="s">
        <v>69</v>
      </c>
      <c r="AJ5" s="110"/>
      <c r="AK5" s="111"/>
      <c r="AL5" s="118" t="s">
        <v>70</v>
      </c>
      <c r="AM5" s="110"/>
      <c r="AN5" s="110"/>
      <c r="AO5" s="110"/>
      <c r="AP5" s="110"/>
      <c r="AQ5" s="111"/>
      <c r="AR5" s="107" t="s">
        <v>71</v>
      </c>
      <c r="AS5" s="107" t="s">
        <v>72</v>
      </c>
      <c r="AT5" s="108" t="s">
        <v>59</v>
      </c>
      <c r="AU5" s="109" t="s">
        <v>73</v>
      </c>
      <c r="AV5" s="110"/>
      <c r="AW5" s="111"/>
      <c r="AX5" s="109" t="s">
        <v>74</v>
      </c>
      <c r="AY5" s="110"/>
      <c r="AZ5" s="110"/>
      <c r="BA5" s="110"/>
      <c r="BB5" s="110"/>
      <c r="BC5" s="111"/>
      <c r="BD5" s="109" t="s">
        <v>75</v>
      </c>
      <c r="BE5" s="110"/>
      <c r="BF5" s="111"/>
      <c r="BG5" s="109" t="s">
        <v>76</v>
      </c>
      <c r="BH5" s="110"/>
      <c r="BI5" s="110"/>
      <c r="BJ5" s="110"/>
      <c r="BK5" s="110"/>
      <c r="BL5" s="111"/>
    </row>
    <row r="6" spans="1:64" ht="13.5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112"/>
      <c r="AA6" s="113"/>
      <c r="AB6" s="114"/>
      <c r="AC6" s="112"/>
      <c r="AD6" s="113"/>
      <c r="AE6" s="113"/>
      <c r="AF6" s="113"/>
      <c r="AG6" s="113"/>
      <c r="AH6" s="114"/>
      <c r="AI6" s="112"/>
      <c r="AJ6" s="113"/>
      <c r="AK6" s="114"/>
      <c r="AL6" s="112"/>
      <c r="AM6" s="113"/>
      <c r="AN6" s="113"/>
      <c r="AO6" s="113"/>
      <c r="AP6" s="113"/>
      <c r="AQ6" s="114"/>
      <c r="AR6" s="88"/>
      <c r="AS6" s="88"/>
      <c r="AT6" s="88"/>
      <c r="AU6" s="112"/>
      <c r="AV6" s="113"/>
      <c r="AW6" s="114"/>
      <c r="AX6" s="112"/>
      <c r="AY6" s="113"/>
      <c r="AZ6" s="113"/>
      <c r="BA6" s="113"/>
      <c r="BB6" s="113"/>
      <c r="BC6" s="114"/>
      <c r="BD6" s="112"/>
      <c r="BE6" s="113"/>
      <c r="BF6" s="114"/>
      <c r="BG6" s="112"/>
      <c r="BH6" s="113"/>
      <c r="BI6" s="113"/>
      <c r="BJ6" s="113"/>
      <c r="BK6" s="113"/>
      <c r="BL6" s="114"/>
    </row>
    <row r="7" spans="1:64" ht="13.5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103" t="s">
        <v>3</v>
      </c>
      <c r="AA7" s="103" t="s">
        <v>4</v>
      </c>
      <c r="AB7" s="103" t="s">
        <v>77</v>
      </c>
      <c r="AC7" s="103" t="s">
        <v>3</v>
      </c>
      <c r="AD7" s="103" t="s">
        <v>59</v>
      </c>
      <c r="AE7" s="103" t="s">
        <v>4</v>
      </c>
      <c r="AF7" s="103" t="s">
        <v>59</v>
      </c>
      <c r="AG7" s="103" t="s">
        <v>77</v>
      </c>
      <c r="AH7" s="103" t="s">
        <v>59</v>
      </c>
      <c r="AI7" s="103" t="s">
        <v>3</v>
      </c>
      <c r="AJ7" s="103" t="s">
        <v>4</v>
      </c>
      <c r="AK7" s="103" t="s">
        <v>77</v>
      </c>
      <c r="AL7" s="103" t="s">
        <v>3</v>
      </c>
      <c r="AM7" s="103" t="s">
        <v>59</v>
      </c>
      <c r="AN7" s="103" t="s">
        <v>4</v>
      </c>
      <c r="AO7" s="103" t="s">
        <v>59</v>
      </c>
      <c r="AP7" s="103" t="s">
        <v>77</v>
      </c>
      <c r="AQ7" s="103" t="s">
        <v>59</v>
      </c>
      <c r="AR7" s="88"/>
      <c r="AS7" s="88"/>
      <c r="AT7" s="88"/>
      <c r="AU7" s="105" t="s">
        <v>3</v>
      </c>
      <c r="AV7" s="105" t="s">
        <v>4</v>
      </c>
      <c r="AW7" s="105" t="s">
        <v>77</v>
      </c>
      <c r="AX7" s="105" t="s">
        <v>3</v>
      </c>
      <c r="AY7" s="105" t="s">
        <v>59</v>
      </c>
      <c r="AZ7" s="105" t="s">
        <v>4</v>
      </c>
      <c r="BA7" s="105" t="s">
        <v>59</v>
      </c>
      <c r="BB7" s="105" t="s">
        <v>77</v>
      </c>
      <c r="BC7" s="105" t="s">
        <v>59</v>
      </c>
      <c r="BD7" s="105" t="s">
        <v>3</v>
      </c>
      <c r="BE7" s="105" t="s">
        <v>4</v>
      </c>
      <c r="BF7" s="105" t="s">
        <v>77</v>
      </c>
      <c r="BG7" s="105" t="s">
        <v>3</v>
      </c>
      <c r="BH7" s="105" t="s">
        <v>59</v>
      </c>
      <c r="BI7" s="105" t="s">
        <v>4</v>
      </c>
      <c r="BJ7" s="105" t="s">
        <v>59</v>
      </c>
      <c r="BK7" s="105" t="s">
        <v>77</v>
      </c>
      <c r="BL7" s="105" t="s">
        <v>59</v>
      </c>
    </row>
    <row r="8" spans="1:64" ht="13.5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89"/>
      <c r="AS8" s="89"/>
      <c r="AT8" s="89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</row>
    <row r="9" spans="1:64" ht="14.5" x14ac:dyDescent="0.35">
      <c r="A9" s="36">
        <v>1</v>
      </c>
      <c r="B9" s="37">
        <v>2</v>
      </c>
      <c r="C9" s="38">
        <v>3</v>
      </c>
      <c r="D9" s="38">
        <v>4</v>
      </c>
      <c r="E9" s="38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9">
        <v>12</v>
      </c>
      <c r="M9" s="39">
        <v>13</v>
      </c>
      <c r="N9" s="39">
        <v>14</v>
      </c>
      <c r="O9" s="38">
        <v>15</v>
      </c>
      <c r="P9" s="40">
        <v>16</v>
      </c>
      <c r="Q9" s="40">
        <v>17</v>
      </c>
      <c r="R9" s="38">
        <v>18</v>
      </c>
      <c r="S9" s="41">
        <v>19</v>
      </c>
      <c r="T9" s="41">
        <v>20</v>
      </c>
      <c r="U9" s="38">
        <v>21</v>
      </c>
      <c r="V9" s="42">
        <v>22</v>
      </c>
      <c r="W9" s="42">
        <v>23</v>
      </c>
      <c r="X9" s="42">
        <v>24</v>
      </c>
      <c r="Y9" s="42">
        <v>25</v>
      </c>
      <c r="Z9" s="38">
        <v>26</v>
      </c>
      <c r="AA9" s="38">
        <v>27</v>
      </c>
      <c r="AB9" s="42">
        <v>28</v>
      </c>
      <c r="AC9" s="42">
        <v>29</v>
      </c>
      <c r="AD9" s="42">
        <v>30</v>
      </c>
      <c r="AE9" s="42">
        <v>31</v>
      </c>
      <c r="AF9" s="42">
        <v>32</v>
      </c>
      <c r="AG9" s="42">
        <v>33</v>
      </c>
      <c r="AH9" s="42">
        <v>34</v>
      </c>
      <c r="AI9" s="42">
        <v>35</v>
      </c>
      <c r="AJ9" s="42">
        <v>36</v>
      </c>
      <c r="AK9" s="42">
        <v>37</v>
      </c>
      <c r="AL9" s="42">
        <v>38</v>
      </c>
      <c r="AM9" s="42">
        <v>39</v>
      </c>
      <c r="AN9" s="42">
        <v>40</v>
      </c>
      <c r="AO9" s="42">
        <v>41</v>
      </c>
      <c r="AP9" s="42">
        <v>42</v>
      </c>
      <c r="AQ9" s="42">
        <v>43</v>
      </c>
      <c r="AR9" s="38">
        <v>44</v>
      </c>
      <c r="AS9" s="43">
        <v>45</v>
      </c>
      <c r="AT9" s="43">
        <v>46</v>
      </c>
      <c r="AU9" s="38">
        <v>47</v>
      </c>
      <c r="AV9" s="38">
        <v>48</v>
      </c>
      <c r="AW9" s="43">
        <v>49</v>
      </c>
      <c r="AX9" s="43">
        <v>50</v>
      </c>
      <c r="AY9" s="43">
        <v>51</v>
      </c>
      <c r="AZ9" s="43">
        <v>52</v>
      </c>
      <c r="BA9" s="43">
        <v>53</v>
      </c>
      <c r="BB9" s="43">
        <v>54</v>
      </c>
      <c r="BC9" s="43">
        <v>55</v>
      </c>
      <c r="BD9" s="43">
        <v>56</v>
      </c>
      <c r="BE9" s="43">
        <v>57</v>
      </c>
      <c r="BF9" s="43">
        <v>58</v>
      </c>
      <c r="BG9" s="43">
        <v>59</v>
      </c>
      <c r="BH9" s="43">
        <v>60</v>
      </c>
      <c r="BI9" s="43">
        <v>61</v>
      </c>
      <c r="BJ9" s="43">
        <v>62</v>
      </c>
      <c r="BK9" s="43">
        <v>63</v>
      </c>
      <c r="BL9" s="43">
        <v>64</v>
      </c>
    </row>
    <row r="10" spans="1:64" ht="15.5" x14ac:dyDescent="0.25">
      <c r="A10" s="13"/>
      <c r="B10" s="44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</row>
    <row r="11" spans="1:64" ht="15" customHeight="1" x14ac:dyDescent="0.25">
      <c r="A11" s="128"/>
      <c r="B11" s="95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spans="1:64" ht="13.5" x14ac:dyDescent="0.25">
      <c r="A12" s="126" t="s">
        <v>1</v>
      </c>
      <c r="B12" s="127" t="s">
        <v>2</v>
      </c>
      <c r="C12" s="115" t="s">
        <v>48</v>
      </c>
      <c r="D12" s="115" t="s">
        <v>49</v>
      </c>
      <c r="E12" s="115" t="s">
        <v>50</v>
      </c>
      <c r="F12" s="115" t="s">
        <v>51</v>
      </c>
      <c r="G12" s="115" t="s">
        <v>52</v>
      </c>
      <c r="H12" s="115" t="s">
        <v>53</v>
      </c>
      <c r="I12" s="115" t="s">
        <v>54</v>
      </c>
      <c r="J12" s="115" t="s">
        <v>55</v>
      </c>
      <c r="K12" s="115" t="s">
        <v>56</v>
      </c>
      <c r="L12" s="129" t="s">
        <v>57</v>
      </c>
      <c r="M12" s="129" t="s">
        <v>58</v>
      </c>
      <c r="N12" s="130" t="s">
        <v>59</v>
      </c>
      <c r="O12" s="131" t="s">
        <v>60</v>
      </c>
      <c r="P12" s="131" t="s">
        <v>61</v>
      </c>
      <c r="Q12" s="132" t="s">
        <v>59</v>
      </c>
      <c r="R12" s="134" t="s">
        <v>62</v>
      </c>
      <c r="S12" s="134" t="s">
        <v>63</v>
      </c>
      <c r="T12" s="134" t="s">
        <v>59</v>
      </c>
      <c r="U12" s="133" t="s">
        <v>64</v>
      </c>
      <c r="V12" s="133" t="s">
        <v>65</v>
      </c>
      <c r="W12" s="116" t="s">
        <v>59</v>
      </c>
      <c r="X12" s="133" t="s">
        <v>66</v>
      </c>
      <c r="Y12" s="116" t="s">
        <v>59</v>
      </c>
      <c r="Z12" s="117" t="s">
        <v>67</v>
      </c>
      <c r="AA12" s="110"/>
      <c r="AB12" s="111"/>
      <c r="AC12" s="118" t="s">
        <v>68</v>
      </c>
      <c r="AD12" s="110"/>
      <c r="AE12" s="110"/>
      <c r="AF12" s="110"/>
      <c r="AG12" s="110"/>
      <c r="AH12" s="111"/>
      <c r="AI12" s="117" t="s">
        <v>69</v>
      </c>
      <c r="AJ12" s="110"/>
      <c r="AK12" s="111"/>
      <c r="AL12" s="118" t="s">
        <v>70</v>
      </c>
      <c r="AM12" s="110"/>
      <c r="AN12" s="110"/>
      <c r="AO12" s="110"/>
      <c r="AP12" s="110"/>
      <c r="AQ12" s="111"/>
      <c r="AR12" s="107" t="s">
        <v>71</v>
      </c>
      <c r="AS12" s="107" t="s">
        <v>72</v>
      </c>
      <c r="AT12" s="108" t="s">
        <v>59</v>
      </c>
      <c r="AU12" s="109" t="s">
        <v>73</v>
      </c>
      <c r="AV12" s="110"/>
      <c r="AW12" s="111"/>
      <c r="AX12" s="109" t="s">
        <v>74</v>
      </c>
      <c r="AY12" s="110"/>
      <c r="AZ12" s="110"/>
      <c r="BA12" s="110"/>
      <c r="BB12" s="110"/>
      <c r="BC12" s="111"/>
      <c r="BD12" s="109" t="s">
        <v>75</v>
      </c>
      <c r="BE12" s="110"/>
      <c r="BF12" s="111"/>
      <c r="BG12" s="109" t="s">
        <v>76</v>
      </c>
      <c r="BH12" s="110"/>
      <c r="BI12" s="110"/>
      <c r="BJ12" s="110"/>
      <c r="BK12" s="110"/>
      <c r="BL12" s="111"/>
    </row>
    <row r="13" spans="1:64" ht="13.5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112"/>
      <c r="AA13" s="113"/>
      <c r="AB13" s="114"/>
      <c r="AC13" s="112"/>
      <c r="AD13" s="113"/>
      <c r="AE13" s="113"/>
      <c r="AF13" s="113"/>
      <c r="AG13" s="113"/>
      <c r="AH13" s="114"/>
      <c r="AI13" s="112"/>
      <c r="AJ13" s="113"/>
      <c r="AK13" s="114"/>
      <c r="AL13" s="112"/>
      <c r="AM13" s="113"/>
      <c r="AN13" s="113"/>
      <c r="AO13" s="113"/>
      <c r="AP13" s="113"/>
      <c r="AQ13" s="114"/>
      <c r="AR13" s="88"/>
      <c r="AS13" s="88"/>
      <c r="AT13" s="88"/>
      <c r="AU13" s="112"/>
      <c r="AV13" s="113"/>
      <c r="AW13" s="114"/>
      <c r="AX13" s="112"/>
      <c r="AY13" s="113"/>
      <c r="AZ13" s="113"/>
      <c r="BA13" s="113"/>
      <c r="BB13" s="113"/>
      <c r="BC13" s="114"/>
      <c r="BD13" s="112"/>
      <c r="BE13" s="113"/>
      <c r="BF13" s="114"/>
      <c r="BG13" s="112"/>
      <c r="BH13" s="113"/>
      <c r="BI13" s="113"/>
      <c r="BJ13" s="113"/>
      <c r="BK13" s="113"/>
      <c r="BL13" s="114"/>
    </row>
    <row r="14" spans="1:64" ht="13.5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103" t="s">
        <v>3</v>
      </c>
      <c r="AA14" s="103" t="s">
        <v>4</v>
      </c>
      <c r="AB14" s="103" t="s">
        <v>77</v>
      </c>
      <c r="AC14" s="103" t="s">
        <v>3</v>
      </c>
      <c r="AD14" s="103" t="s">
        <v>59</v>
      </c>
      <c r="AE14" s="103" t="s">
        <v>4</v>
      </c>
      <c r="AF14" s="103" t="s">
        <v>59</v>
      </c>
      <c r="AG14" s="103" t="s">
        <v>77</v>
      </c>
      <c r="AH14" s="103" t="s">
        <v>59</v>
      </c>
      <c r="AI14" s="103" t="s">
        <v>3</v>
      </c>
      <c r="AJ14" s="103" t="s">
        <v>4</v>
      </c>
      <c r="AK14" s="103" t="s">
        <v>77</v>
      </c>
      <c r="AL14" s="103" t="s">
        <v>3</v>
      </c>
      <c r="AM14" s="103" t="s">
        <v>59</v>
      </c>
      <c r="AN14" s="103" t="s">
        <v>4</v>
      </c>
      <c r="AO14" s="103" t="s">
        <v>59</v>
      </c>
      <c r="AP14" s="103" t="s">
        <v>77</v>
      </c>
      <c r="AQ14" s="103" t="s">
        <v>59</v>
      </c>
      <c r="AR14" s="88"/>
      <c r="AS14" s="88"/>
      <c r="AT14" s="88"/>
      <c r="AU14" s="105" t="s">
        <v>3</v>
      </c>
      <c r="AV14" s="105" t="s">
        <v>4</v>
      </c>
      <c r="AW14" s="105" t="s">
        <v>77</v>
      </c>
      <c r="AX14" s="105" t="s">
        <v>3</v>
      </c>
      <c r="AY14" s="105" t="s">
        <v>59</v>
      </c>
      <c r="AZ14" s="105" t="s">
        <v>4</v>
      </c>
      <c r="BA14" s="105" t="s">
        <v>59</v>
      </c>
      <c r="BB14" s="105" t="s">
        <v>77</v>
      </c>
      <c r="BC14" s="105" t="s">
        <v>59</v>
      </c>
      <c r="BD14" s="105" t="s">
        <v>3</v>
      </c>
      <c r="BE14" s="105" t="s">
        <v>4</v>
      </c>
      <c r="BF14" s="105" t="s">
        <v>77</v>
      </c>
      <c r="BG14" s="105" t="s">
        <v>3</v>
      </c>
      <c r="BH14" s="105" t="s">
        <v>59</v>
      </c>
      <c r="BI14" s="105" t="s">
        <v>4</v>
      </c>
      <c r="BJ14" s="105" t="s">
        <v>59</v>
      </c>
      <c r="BK14" s="105" t="s">
        <v>77</v>
      </c>
      <c r="BL14" s="105" t="s">
        <v>59</v>
      </c>
    </row>
    <row r="15" spans="1:64" ht="13.5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89"/>
      <c r="AS15" s="89"/>
      <c r="AT15" s="89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</row>
    <row r="16" spans="1:64" ht="13.5" x14ac:dyDescent="0.25">
      <c r="A16" s="45">
        <v>1</v>
      </c>
      <c r="B16" s="46">
        <v>2</v>
      </c>
      <c r="C16" s="47">
        <v>3</v>
      </c>
      <c r="D16" s="47">
        <v>4</v>
      </c>
      <c r="E16" s="47">
        <v>5</v>
      </c>
      <c r="F16" s="47">
        <v>6</v>
      </c>
      <c r="G16" s="47">
        <v>7</v>
      </c>
      <c r="H16" s="47">
        <v>8</v>
      </c>
      <c r="I16" s="47">
        <v>9</v>
      </c>
      <c r="J16" s="47">
        <v>10</v>
      </c>
      <c r="K16" s="47">
        <v>11</v>
      </c>
      <c r="L16" s="48">
        <v>12</v>
      </c>
      <c r="M16" s="48">
        <v>13</v>
      </c>
      <c r="N16" s="48">
        <v>14</v>
      </c>
      <c r="O16" s="49">
        <v>15</v>
      </c>
      <c r="P16" s="49">
        <v>16</v>
      </c>
      <c r="Q16" s="49">
        <v>17</v>
      </c>
      <c r="R16" s="50">
        <v>18</v>
      </c>
      <c r="S16" s="50">
        <v>19</v>
      </c>
      <c r="T16" s="50">
        <v>20</v>
      </c>
      <c r="U16" s="51">
        <v>21</v>
      </c>
      <c r="V16" s="51">
        <v>22</v>
      </c>
      <c r="W16" s="51">
        <v>23</v>
      </c>
      <c r="X16" s="51">
        <v>24</v>
      </c>
      <c r="Y16" s="51">
        <v>25</v>
      </c>
      <c r="Z16" s="51">
        <v>26</v>
      </c>
      <c r="AA16" s="51">
        <v>27</v>
      </c>
      <c r="AB16" s="51">
        <v>28</v>
      </c>
      <c r="AC16" s="51">
        <v>29</v>
      </c>
      <c r="AD16" s="51">
        <v>30</v>
      </c>
      <c r="AE16" s="51">
        <v>31</v>
      </c>
      <c r="AF16" s="51">
        <v>32</v>
      </c>
      <c r="AG16" s="51">
        <v>33</v>
      </c>
      <c r="AH16" s="51">
        <v>34</v>
      </c>
      <c r="AI16" s="51">
        <v>35</v>
      </c>
      <c r="AJ16" s="51">
        <v>36</v>
      </c>
      <c r="AK16" s="51">
        <v>37</v>
      </c>
      <c r="AL16" s="51">
        <v>38</v>
      </c>
      <c r="AM16" s="51">
        <v>39</v>
      </c>
      <c r="AN16" s="51">
        <v>40</v>
      </c>
      <c r="AO16" s="51">
        <v>41</v>
      </c>
      <c r="AP16" s="51">
        <v>42</v>
      </c>
      <c r="AQ16" s="51">
        <v>43</v>
      </c>
      <c r="AR16" s="52">
        <v>44</v>
      </c>
      <c r="AS16" s="52">
        <v>45</v>
      </c>
      <c r="AT16" s="52">
        <v>46</v>
      </c>
      <c r="AU16" s="53">
        <v>47</v>
      </c>
      <c r="AV16" s="53">
        <v>48</v>
      </c>
      <c r="AW16" s="53">
        <v>49</v>
      </c>
      <c r="AX16" s="53">
        <v>50</v>
      </c>
      <c r="AY16" s="53">
        <v>51</v>
      </c>
      <c r="AZ16" s="53">
        <v>52</v>
      </c>
      <c r="BA16" s="53">
        <v>53</v>
      </c>
      <c r="BB16" s="53">
        <v>54</v>
      </c>
      <c r="BC16" s="53">
        <v>55</v>
      </c>
      <c r="BD16" s="53">
        <v>56</v>
      </c>
      <c r="BE16" s="53">
        <v>57</v>
      </c>
      <c r="BF16" s="53">
        <v>58</v>
      </c>
      <c r="BG16" s="53">
        <v>59</v>
      </c>
      <c r="BH16" s="53">
        <v>60</v>
      </c>
      <c r="BI16" s="53">
        <v>61</v>
      </c>
      <c r="BJ16" s="53">
        <v>62</v>
      </c>
      <c r="BK16" s="53">
        <v>63</v>
      </c>
      <c r="BL16" s="53">
        <v>64</v>
      </c>
    </row>
    <row r="17" spans="1:64" ht="15.5" x14ac:dyDescent="0.35">
      <c r="A17" s="5">
        <v>1</v>
      </c>
      <c r="B17" s="10" t="s">
        <v>5</v>
      </c>
      <c r="C17" s="54">
        <v>1</v>
      </c>
      <c r="D17" s="54">
        <v>2</v>
      </c>
      <c r="E17" s="54" t="s">
        <v>78</v>
      </c>
      <c r="F17" s="54">
        <v>19</v>
      </c>
      <c r="G17" s="54">
        <v>32</v>
      </c>
      <c r="H17" s="55">
        <f t="shared" ref="H17:H33" si="0">F17/G17</f>
        <v>0.59375</v>
      </c>
      <c r="I17" s="56">
        <v>403</v>
      </c>
      <c r="J17" s="57">
        <v>105</v>
      </c>
      <c r="K17" s="58">
        <f t="shared" ref="K17:K33" si="1">J17/I17*100</f>
        <v>26.054590570719604</v>
      </c>
      <c r="L17" s="59">
        <v>84</v>
      </c>
      <c r="M17" s="59">
        <v>84</v>
      </c>
      <c r="N17" s="60">
        <f t="shared" ref="N17:N33" si="2">M17/L17*100</f>
        <v>100</v>
      </c>
      <c r="O17" s="59">
        <v>55</v>
      </c>
      <c r="P17" s="59">
        <v>0</v>
      </c>
      <c r="Q17" s="58">
        <f t="shared" ref="Q17:Q33" si="3">P17/O17*100</f>
        <v>0</v>
      </c>
      <c r="R17" s="59">
        <v>36</v>
      </c>
      <c r="S17" s="59">
        <v>0</v>
      </c>
      <c r="T17" s="58">
        <f t="shared" ref="T17:T33" si="4">S17/R17*100</f>
        <v>0</v>
      </c>
      <c r="U17" s="59">
        <v>6122</v>
      </c>
      <c r="V17" s="59">
        <v>0</v>
      </c>
      <c r="W17" s="58">
        <f t="shared" ref="W17:W33" si="5">V17/U17*100</f>
        <v>0</v>
      </c>
      <c r="X17" s="61"/>
      <c r="Y17" s="58">
        <f t="shared" ref="Y17:Y33" si="6">X17/U17*100</f>
        <v>0</v>
      </c>
      <c r="Z17" s="59">
        <v>3100</v>
      </c>
      <c r="AA17" s="59">
        <v>3022</v>
      </c>
      <c r="AB17" s="22">
        <f t="shared" ref="AB17:AB32" si="7">Z17+AA17</f>
        <v>6122</v>
      </c>
      <c r="AC17" s="61"/>
      <c r="AD17" s="58">
        <f t="shared" ref="AD17:AD33" si="8">AC17/Z17*100</f>
        <v>0</v>
      </c>
      <c r="AE17" s="61"/>
      <c r="AF17" s="58">
        <f t="shared" ref="AF17:AF33" si="9">AE17/AA17*100</f>
        <v>0</v>
      </c>
      <c r="AG17" s="61">
        <f t="shared" ref="AG17:AG32" si="10">AC17+AE17</f>
        <v>0</v>
      </c>
      <c r="AH17" s="58">
        <f t="shared" ref="AH17:AH33" si="11">AG17/AB17*100</f>
        <v>0</v>
      </c>
      <c r="AI17" s="61"/>
      <c r="AJ17" s="61"/>
      <c r="AK17" s="22">
        <f t="shared" ref="AK17:AK32" si="12">AI17+AJ17</f>
        <v>0</v>
      </c>
      <c r="AL17" s="61"/>
      <c r="AM17" s="58" t="e">
        <f t="shared" ref="AM17:AM33" si="13">AL17/AI17*100</f>
        <v>#DIV/0!</v>
      </c>
      <c r="AN17" s="61"/>
      <c r="AO17" s="58" t="e">
        <f t="shared" ref="AO17:AO33" si="14">AN17/AJ17*100</f>
        <v>#DIV/0!</v>
      </c>
      <c r="AP17" s="61">
        <f t="shared" ref="AP17:AP32" si="15">AL17+AN17</f>
        <v>0</v>
      </c>
      <c r="AQ17" s="58" t="e">
        <f t="shared" ref="AQ17:AQ33" si="16">AP17/AK17*100</f>
        <v>#DIV/0!</v>
      </c>
      <c r="AR17" s="59">
        <v>1908</v>
      </c>
      <c r="AS17" s="61"/>
      <c r="AT17" s="58">
        <f t="shared" ref="AT17:AT33" si="17">AS17/AR17*100</f>
        <v>0</v>
      </c>
      <c r="AU17" s="59">
        <v>993</v>
      </c>
      <c r="AV17" s="59">
        <v>915</v>
      </c>
      <c r="AW17" s="22">
        <f t="shared" ref="AW17:AW32" si="18">AU17+AV17</f>
        <v>1908</v>
      </c>
      <c r="AX17" s="61"/>
      <c r="AY17" s="58">
        <f t="shared" ref="AY17:AY33" si="19">AX17/AU17*100</f>
        <v>0</v>
      </c>
      <c r="AZ17" s="61"/>
      <c r="BA17" s="58">
        <f t="shared" ref="BA17:BA33" si="20">AZ17/AV17*100</f>
        <v>0</v>
      </c>
      <c r="BB17" s="61">
        <f t="shared" ref="BB17:BB32" si="21">AX17+AZ17</f>
        <v>0</v>
      </c>
      <c r="BC17" s="58">
        <f t="shared" ref="BC17:BC33" si="22">BB17/AW17*100</f>
        <v>0</v>
      </c>
      <c r="BD17" s="61"/>
      <c r="BE17" s="61"/>
      <c r="BF17" s="22">
        <f t="shared" ref="BF17:BF32" si="23">BD17+BE17</f>
        <v>0</v>
      </c>
      <c r="BG17" s="61"/>
      <c r="BH17" s="58" t="e">
        <f t="shared" ref="BH17:BH33" si="24">BG17/BD17*100</f>
        <v>#DIV/0!</v>
      </c>
      <c r="BI17" s="61"/>
      <c r="BJ17" s="58" t="e">
        <f t="shared" ref="BJ17:BJ33" si="25">BI17/BE17*100</f>
        <v>#DIV/0!</v>
      </c>
      <c r="BK17" s="61">
        <f t="shared" ref="BK17:BK32" si="26">BG17+BI17</f>
        <v>0</v>
      </c>
      <c r="BL17" s="58" t="e">
        <f t="shared" ref="BL17:BL33" si="27">BK17/BF17*100</f>
        <v>#DIV/0!</v>
      </c>
    </row>
    <row r="18" spans="1:64" ht="15.5" x14ac:dyDescent="0.35">
      <c r="A18" s="5">
        <v>2</v>
      </c>
      <c r="B18" s="6" t="s">
        <v>6</v>
      </c>
      <c r="C18" s="54">
        <v>1</v>
      </c>
      <c r="D18" s="54">
        <v>2</v>
      </c>
      <c r="E18" s="62" t="s">
        <v>78</v>
      </c>
      <c r="F18" s="54">
        <v>19</v>
      </c>
      <c r="G18" s="54">
        <v>22</v>
      </c>
      <c r="H18" s="55">
        <f t="shared" si="0"/>
        <v>0.86363636363636365</v>
      </c>
      <c r="I18" s="56">
        <v>263</v>
      </c>
      <c r="J18" s="57">
        <v>46</v>
      </c>
      <c r="K18" s="58">
        <f t="shared" si="1"/>
        <v>17.490494296577946</v>
      </c>
      <c r="L18" s="59">
        <v>65</v>
      </c>
      <c r="M18" s="59">
        <v>65</v>
      </c>
      <c r="N18" s="60">
        <f t="shared" si="2"/>
        <v>100</v>
      </c>
      <c r="O18" s="63">
        <f t="shared" ref="O18:O33" si="28">O17</f>
        <v>55</v>
      </c>
      <c r="P18" s="59">
        <v>0</v>
      </c>
      <c r="Q18" s="58">
        <f t="shared" si="3"/>
        <v>0</v>
      </c>
      <c r="R18" s="61">
        <f t="shared" ref="R18:R33" si="29">R17</f>
        <v>36</v>
      </c>
      <c r="S18" s="59">
        <v>0</v>
      </c>
      <c r="T18" s="58">
        <f t="shared" si="4"/>
        <v>0</v>
      </c>
      <c r="U18" s="63">
        <f t="shared" ref="U18:U33" si="30">U17</f>
        <v>6122</v>
      </c>
      <c r="V18" s="59">
        <v>0</v>
      </c>
      <c r="W18" s="58">
        <f t="shared" si="5"/>
        <v>0</v>
      </c>
      <c r="X18" s="61"/>
      <c r="Y18" s="58">
        <f t="shared" si="6"/>
        <v>0</v>
      </c>
      <c r="Z18" s="61"/>
      <c r="AA18" s="61"/>
      <c r="AB18" s="22">
        <f t="shared" si="7"/>
        <v>0</v>
      </c>
      <c r="AC18" s="61"/>
      <c r="AD18" s="58" t="e">
        <f t="shared" si="8"/>
        <v>#DIV/0!</v>
      </c>
      <c r="AE18" s="61"/>
      <c r="AF18" s="58" t="e">
        <f t="shared" si="9"/>
        <v>#DIV/0!</v>
      </c>
      <c r="AG18" s="61">
        <f t="shared" si="10"/>
        <v>0</v>
      </c>
      <c r="AH18" s="58" t="e">
        <f t="shared" si="11"/>
        <v>#DIV/0!</v>
      </c>
      <c r="AI18" s="61"/>
      <c r="AJ18" s="61"/>
      <c r="AK18" s="22">
        <f t="shared" si="12"/>
        <v>0</v>
      </c>
      <c r="AL18" s="61"/>
      <c r="AM18" s="58" t="e">
        <f t="shared" si="13"/>
        <v>#DIV/0!</v>
      </c>
      <c r="AN18" s="61"/>
      <c r="AO18" s="58" t="e">
        <f t="shared" si="14"/>
        <v>#DIV/0!</v>
      </c>
      <c r="AP18" s="61">
        <f t="shared" si="15"/>
        <v>0</v>
      </c>
      <c r="AQ18" s="58" t="e">
        <f t="shared" si="16"/>
        <v>#DIV/0!</v>
      </c>
      <c r="AR18" s="63">
        <f t="shared" ref="AR18:AR33" si="31">AR17</f>
        <v>1908</v>
      </c>
      <c r="AS18" s="61"/>
      <c r="AT18" s="58">
        <f t="shared" si="17"/>
        <v>0</v>
      </c>
      <c r="AU18" s="61"/>
      <c r="AV18" s="61"/>
      <c r="AW18" s="22">
        <f t="shared" si="18"/>
        <v>0</v>
      </c>
      <c r="AX18" s="61"/>
      <c r="AY18" s="58" t="e">
        <f t="shared" si="19"/>
        <v>#DIV/0!</v>
      </c>
      <c r="AZ18" s="61"/>
      <c r="BA18" s="58" t="e">
        <f t="shared" si="20"/>
        <v>#DIV/0!</v>
      </c>
      <c r="BB18" s="61">
        <f t="shared" si="21"/>
        <v>0</v>
      </c>
      <c r="BC18" s="58" t="e">
        <f t="shared" si="22"/>
        <v>#DIV/0!</v>
      </c>
      <c r="BD18" s="61"/>
      <c r="BE18" s="61"/>
      <c r="BF18" s="22">
        <f t="shared" si="23"/>
        <v>0</v>
      </c>
      <c r="BG18" s="61"/>
      <c r="BH18" s="58" t="e">
        <f t="shared" si="24"/>
        <v>#DIV/0!</v>
      </c>
      <c r="BI18" s="61"/>
      <c r="BJ18" s="58" t="e">
        <f t="shared" si="25"/>
        <v>#DIV/0!</v>
      </c>
      <c r="BK18" s="61">
        <f t="shared" si="26"/>
        <v>0</v>
      </c>
      <c r="BL18" s="58" t="e">
        <f t="shared" si="27"/>
        <v>#DIV/0!</v>
      </c>
    </row>
    <row r="19" spans="1:64" ht="15.5" x14ac:dyDescent="0.35">
      <c r="A19" s="5">
        <v>3</v>
      </c>
      <c r="B19" s="6" t="s">
        <v>7</v>
      </c>
      <c r="C19" s="54">
        <v>1</v>
      </c>
      <c r="D19" s="54">
        <v>2</v>
      </c>
      <c r="E19" s="64" t="str">
        <f t="shared" ref="E19:E32" si="32">E18</f>
        <v>Ya</v>
      </c>
      <c r="F19" s="54">
        <v>14</v>
      </c>
      <c r="G19" s="54">
        <v>21</v>
      </c>
      <c r="H19" s="55">
        <f t="shared" si="0"/>
        <v>0.66666666666666663</v>
      </c>
      <c r="I19" s="56">
        <v>260</v>
      </c>
      <c r="J19" s="57">
        <v>41</v>
      </c>
      <c r="K19" s="58">
        <f t="shared" si="1"/>
        <v>15.769230769230768</v>
      </c>
      <c r="L19" s="59">
        <v>57</v>
      </c>
      <c r="M19" s="59">
        <v>57</v>
      </c>
      <c r="N19" s="60">
        <f t="shared" si="2"/>
        <v>100</v>
      </c>
      <c r="O19" s="63">
        <f t="shared" si="28"/>
        <v>55</v>
      </c>
      <c r="P19" s="59">
        <v>0</v>
      </c>
      <c r="Q19" s="58">
        <f t="shared" si="3"/>
        <v>0</v>
      </c>
      <c r="R19" s="61">
        <f t="shared" si="29"/>
        <v>36</v>
      </c>
      <c r="S19" s="59">
        <v>5</v>
      </c>
      <c r="T19" s="58">
        <f t="shared" si="4"/>
        <v>13.888888888888889</v>
      </c>
      <c r="U19" s="63">
        <f t="shared" si="30"/>
        <v>6122</v>
      </c>
      <c r="V19" s="59">
        <v>0</v>
      </c>
      <c r="W19" s="58">
        <f t="shared" si="5"/>
        <v>0</v>
      </c>
      <c r="X19" s="61"/>
      <c r="Y19" s="58">
        <f t="shared" si="6"/>
        <v>0</v>
      </c>
      <c r="Z19" s="61"/>
      <c r="AA19" s="61"/>
      <c r="AB19" s="22">
        <f t="shared" si="7"/>
        <v>0</v>
      </c>
      <c r="AC19" s="61"/>
      <c r="AD19" s="58" t="e">
        <f t="shared" si="8"/>
        <v>#DIV/0!</v>
      </c>
      <c r="AE19" s="61"/>
      <c r="AF19" s="58" t="e">
        <f t="shared" si="9"/>
        <v>#DIV/0!</v>
      </c>
      <c r="AG19" s="61">
        <f t="shared" si="10"/>
        <v>0</v>
      </c>
      <c r="AH19" s="58" t="e">
        <f t="shared" si="11"/>
        <v>#DIV/0!</v>
      </c>
      <c r="AI19" s="61"/>
      <c r="AJ19" s="61"/>
      <c r="AK19" s="22">
        <f t="shared" si="12"/>
        <v>0</v>
      </c>
      <c r="AL19" s="61"/>
      <c r="AM19" s="58" t="e">
        <f t="shared" si="13"/>
        <v>#DIV/0!</v>
      </c>
      <c r="AN19" s="61"/>
      <c r="AO19" s="58" t="e">
        <f t="shared" si="14"/>
        <v>#DIV/0!</v>
      </c>
      <c r="AP19" s="61">
        <f t="shared" si="15"/>
        <v>0</v>
      </c>
      <c r="AQ19" s="58" t="e">
        <f t="shared" si="16"/>
        <v>#DIV/0!</v>
      </c>
      <c r="AR19" s="63">
        <f t="shared" si="31"/>
        <v>1908</v>
      </c>
      <c r="AS19" s="61"/>
      <c r="AT19" s="58">
        <f t="shared" si="17"/>
        <v>0</v>
      </c>
      <c r="AU19" s="61"/>
      <c r="AV19" s="61"/>
      <c r="AW19" s="22">
        <f t="shared" si="18"/>
        <v>0</v>
      </c>
      <c r="AX19" s="61"/>
      <c r="AY19" s="58" t="e">
        <f t="shared" si="19"/>
        <v>#DIV/0!</v>
      </c>
      <c r="AZ19" s="61"/>
      <c r="BA19" s="58" t="e">
        <f t="shared" si="20"/>
        <v>#DIV/0!</v>
      </c>
      <c r="BB19" s="61">
        <f t="shared" si="21"/>
        <v>0</v>
      </c>
      <c r="BC19" s="58" t="e">
        <f t="shared" si="22"/>
        <v>#DIV/0!</v>
      </c>
      <c r="BD19" s="61"/>
      <c r="BE19" s="61"/>
      <c r="BF19" s="22">
        <f t="shared" si="23"/>
        <v>0</v>
      </c>
      <c r="BG19" s="61"/>
      <c r="BH19" s="58" t="e">
        <f t="shared" si="24"/>
        <v>#DIV/0!</v>
      </c>
      <c r="BI19" s="61"/>
      <c r="BJ19" s="58" t="e">
        <f t="shared" si="25"/>
        <v>#DIV/0!</v>
      </c>
      <c r="BK19" s="61">
        <f t="shared" si="26"/>
        <v>0</v>
      </c>
      <c r="BL19" s="58" t="e">
        <f t="shared" si="27"/>
        <v>#DIV/0!</v>
      </c>
    </row>
    <row r="20" spans="1:64" ht="14" x14ac:dyDescent="0.3">
      <c r="A20" s="7">
        <v>4</v>
      </c>
      <c r="B20" s="8" t="s">
        <v>8</v>
      </c>
      <c r="C20" s="65">
        <f t="shared" ref="C20:D20" si="33">MAX(C17:C19)</f>
        <v>1</v>
      </c>
      <c r="D20" s="65">
        <f t="shared" si="33"/>
        <v>2</v>
      </c>
      <c r="E20" s="66" t="str">
        <f t="shared" si="32"/>
        <v>Ya</v>
      </c>
      <c r="F20" s="65">
        <f t="shared" ref="F20:G20" si="34">SUM(F17:F19)</f>
        <v>52</v>
      </c>
      <c r="G20" s="65">
        <f t="shared" si="34"/>
        <v>75</v>
      </c>
      <c r="H20" s="67">
        <f t="shared" si="0"/>
        <v>0.69333333333333336</v>
      </c>
      <c r="I20" s="65">
        <f t="shared" ref="I20:J20" si="35">SUM(I17:I19)</f>
        <v>926</v>
      </c>
      <c r="J20" s="65">
        <f t="shared" si="35"/>
        <v>192</v>
      </c>
      <c r="K20" s="68">
        <f t="shared" si="1"/>
        <v>20.734341252699785</v>
      </c>
      <c r="L20" s="69">
        <f t="shared" ref="L20:M20" si="36">SUM(L17:L19)</f>
        <v>206</v>
      </c>
      <c r="M20" s="69">
        <f t="shared" si="36"/>
        <v>206</v>
      </c>
      <c r="N20" s="70">
        <f t="shared" si="2"/>
        <v>100</v>
      </c>
      <c r="O20" s="71">
        <f t="shared" si="28"/>
        <v>55</v>
      </c>
      <c r="P20" s="69">
        <f>SUM(P17:P19)</f>
        <v>0</v>
      </c>
      <c r="Q20" s="68">
        <f t="shared" si="3"/>
        <v>0</v>
      </c>
      <c r="R20" s="69">
        <f t="shared" si="29"/>
        <v>36</v>
      </c>
      <c r="S20" s="69">
        <f>SUM(S17:S19)</f>
        <v>5</v>
      </c>
      <c r="T20" s="68">
        <f t="shared" si="4"/>
        <v>13.888888888888889</v>
      </c>
      <c r="U20" s="71">
        <f t="shared" si="30"/>
        <v>6122</v>
      </c>
      <c r="V20" s="69">
        <f>SUM(V17:V19)</f>
        <v>0</v>
      </c>
      <c r="W20" s="68">
        <f t="shared" si="5"/>
        <v>0</v>
      </c>
      <c r="X20" s="69">
        <f>SUM(X17:X19)</f>
        <v>0</v>
      </c>
      <c r="Y20" s="68">
        <f t="shared" si="6"/>
        <v>0</v>
      </c>
      <c r="Z20" s="69">
        <f t="shared" ref="Z20:AA20" si="37">MAX(Z17:Z19)</f>
        <v>3100</v>
      </c>
      <c r="AA20" s="69">
        <f t="shared" si="37"/>
        <v>3022</v>
      </c>
      <c r="AB20" s="72">
        <f t="shared" si="7"/>
        <v>6122</v>
      </c>
      <c r="AC20" s="69">
        <f>SUM(AC17:AC19)</f>
        <v>0</v>
      </c>
      <c r="AD20" s="68">
        <f t="shared" si="8"/>
        <v>0</v>
      </c>
      <c r="AE20" s="69">
        <f>SUM(AE17:AE19)</f>
        <v>0</v>
      </c>
      <c r="AF20" s="68">
        <f t="shared" si="9"/>
        <v>0</v>
      </c>
      <c r="AG20" s="69">
        <f t="shared" si="10"/>
        <v>0</v>
      </c>
      <c r="AH20" s="68">
        <f t="shared" si="11"/>
        <v>0</v>
      </c>
      <c r="AI20" s="69">
        <f t="shared" ref="AI20:AJ20" si="38">SUM(AI17:AI19)</f>
        <v>0</v>
      </c>
      <c r="AJ20" s="69">
        <f t="shared" si="38"/>
        <v>0</v>
      </c>
      <c r="AK20" s="72">
        <f t="shared" si="12"/>
        <v>0</v>
      </c>
      <c r="AL20" s="69">
        <f>SUM(AL17:AL19)</f>
        <v>0</v>
      </c>
      <c r="AM20" s="68" t="e">
        <f t="shared" si="13"/>
        <v>#DIV/0!</v>
      </c>
      <c r="AN20" s="69">
        <f>SUM(AN17:AN19)</f>
        <v>0</v>
      </c>
      <c r="AO20" s="68" t="e">
        <f t="shared" si="14"/>
        <v>#DIV/0!</v>
      </c>
      <c r="AP20" s="69">
        <f t="shared" si="15"/>
        <v>0</v>
      </c>
      <c r="AQ20" s="68" t="e">
        <f t="shared" si="16"/>
        <v>#DIV/0!</v>
      </c>
      <c r="AR20" s="71">
        <f t="shared" si="31"/>
        <v>1908</v>
      </c>
      <c r="AS20" s="69">
        <f>SUM(AS17:AS19)</f>
        <v>0</v>
      </c>
      <c r="AT20" s="68">
        <f t="shared" si="17"/>
        <v>0</v>
      </c>
      <c r="AU20" s="69">
        <f t="shared" ref="AU20:AV20" si="39">MAX(AU17:AU19)</f>
        <v>993</v>
      </c>
      <c r="AV20" s="69">
        <f t="shared" si="39"/>
        <v>915</v>
      </c>
      <c r="AW20" s="72">
        <f t="shared" si="18"/>
        <v>1908</v>
      </c>
      <c r="AX20" s="69">
        <f>SUM(AX17:AX19)</f>
        <v>0</v>
      </c>
      <c r="AY20" s="68">
        <f t="shared" si="19"/>
        <v>0</v>
      </c>
      <c r="AZ20" s="69">
        <f>SUM(AZ17:AZ19)</f>
        <v>0</v>
      </c>
      <c r="BA20" s="68">
        <f t="shared" si="20"/>
        <v>0</v>
      </c>
      <c r="BB20" s="69">
        <f t="shared" si="21"/>
        <v>0</v>
      </c>
      <c r="BC20" s="68">
        <f t="shared" si="22"/>
        <v>0</v>
      </c>
      <c r="BD20" s="69">
        <f t="shared" ref="BD20:BE20" si="40">SUM(BD17:BD19)</f>
        <v>0</v>
      </c>
      <c r="BE20" s="69">
        <f t="shared" si="40"/>
        <v>0</v>
      </c>
      <c r="BF20" s="72">
        <f t="shared" si="23"/>
        <v>0</v>
      </c>
      <c r="BG20" s="69">
        <f>SUM(BG17:BG19)</f>
        <v>0</v>
      </c>
      <c r="BH20" s="68" t="e">
        <f t="shared" si="24"/>
        <v>#DIV/0!</v>
      </c>
      <c r="BI20" s="69">
        <f>SUM(BI17:BI19)</f>
        <v>0</v>
      </c>
      <c r="BJ20" s="68" t="e">
        <f t="shared" si="25"/>
        <v>#DIV/0!</v>
      </c>
      <c r="BK20" s="69">
        <f t="shared" si="26"/>
        <v>0</v>
      </c>
      <c r="BL20" s="68" t="e">
        <f t="shared" si="27"/>
        <v>#DIV/0!</v>
      </c>
    </row>
    <row r="21" spans="1:64" ht="15.75" customHeight="1" x14ac:dyDescent="0.35">
      <c r="A21" s="5">
        <v>5</v>
      </c>
      <c r="B21" s="6" t="s">
        <v>9</v>
      </c>
      <c r="C21" s="54">
        <v>2</v>
      </c>
      <c r="D21" s="54">
        <v>2</v>
      </c>
      <c r="E21" s="64" t="str">
        <f t="shared" si="32"/>
        <v>Ya</v>
      </c>
      <c r="F21" s="54">
        <v>22</v>
      </c>
      <c r="G21" s="54">
        <v>11</v>
      </c>
      <c r="H21" s="55">
        <f t="shared" si="0"/>
        <v>2</v>
      </c>
      <c r="I21" s="56">
        <v>250</v>
      </c>
      <c r="J21" s="57">
        <v>59</v>
      </c>
      <c r="K21" s="58">
        <f t="shared" si="1"/>
        <v>23.599999999999998</v>
      </c>
      <c r="L21" s="59">
        <v>53</v>
      </c>
      <c r="M21" s="59">
        <v>53</v>
      </c>
      <c r="N21" s="60">
        <f t="shared" si="2"/>
        <v>100</v>
      </c>
      <c r="O21" s="63">
        <f t="shared" si="28"/>
        <v>55</v>
      </c>
      <c r="P21" s="59">
        <v>0</v>
      </c>
      <c r="Q21" s="58">
        <f t="shared" si="3"/>
        <v>0</v>
      </c>
      <c r="R21" s="61">
        <f t="shared" si="29"/>
        <v>36</v>
      </c>
      <c r="S21" s="59">
        <v>0</v>
      </c>
      <c r="T21" s="58">
        <f t="shared" si="4"/>
        <v>0</v>
      </c>
      <c r="U21" s="63">
        <f t="shared" si="30"/>
        <v>6122</v>
      </c>
      <c r="V21" s="59">
        <v>0</v>
      </c>
      <c r="W21" s="58">
        <f t="shared" si="5"/>
        <v>0</v>
      </c>
      <c r="X21" s="61"/>
      <c r="Y21" s="58">
        <f t="shared" si="6"/>
        <v>0</v>
      </c>
      <c r="Z21" s="61"/>
      <c r="AA21" s="61"/>
      <c r="AB21" s="22">
        <f t="shared" si="7"/>
        <v>0</v>
      </c>
      <c r="AC21" s="61"/>
      <c r="AD21" s="58" t="e">
        <f t="shared" si="8"/>
        <v>#DIV/0!</v>
      </c>
      <c r="AE21" s="61"/>
      <c r="AF21" s="58" t="e">
        <f t="shared" si="9"/>
        <v>#DIV/0!</v>
      </c>
      <c r="AG21" s="61">
        <f t="shared" si="10"/>
        <v>0</v>
      </c>
      <c r="AH21" s="58" t="e">
        <f t="shared" si="11"/>
        <v>#DIV/0!</v>
      </c>
      <c r="AI21" s="61"/>
      <c r="AJ21" s="61"/>
      <c r="AK21" s="22">
        <f t="shared" si="12"/>
        <v>0</v>
      </c>
      <c r="AL21" s="61"/>
      <c r="AM21" s="58" t="e">
        <f t="shared" si="13"/>
        <v>#DIV/0!</v>
      </c>
      <c r="AN21" s="61"/>
      <c r="AO21" s="58" t="e">
        <f t="shared" si="14"/>
        <v>#DIV/0!</v>
      </c>
      <c r="AP21" s="61">
        <f t="shared" si="15"/>
        <v>0</v>
      </c>
      <c r="AQ21" s="58" t="e">
        <f t="shared" si="16"/>
        <v>#DIV/0!</v>
      </c>
      <c r="AR21" s="63">
        <f t="shared" si="31"/>
        <v>1908</v>
      </c>
      <c r="AS21" s="61"/>
      <c r="AT21" s="58">
        <f t="shared" si="17"/>
        <v>0</v>
      </c>
      <c r="AU21" s="61"/>
      <c r="AV21" s="61"/>
      <c r="AW21" s="22">
        <f t="shared" si="18"/>
        <v>0</v>
      </c>
      <c r="AX21" s="61"/>
      <c r="AY21" s="58" t="e">
        <f t="shared" si="19"/>
        <v>#DIV/0!</v>
      </c>
      <c r="AZ21" s="61"/>
      <c r="BA21" s="58" t="e">
        <f t="shared" si="20"/>
        <v>#DIV/0!</v>
      </c>
      <c r="BB21" s="61">
        <f t="shared" si="21"/>
        <v>0</v>
      </c>
      <c r="BC21" s="58" t="e">
        <f t="shared" si="22"/>
        <v>#DIV/0!</v>
      </c>
      <c r="BD21" s="61"/>
      <c r="BE21" s="61"/>
      <c r="BF21" s="22">
        <f t="shared" si="23"/>
        <v>0</v>
      </c>
      <c r="BG21" s="61"/>
      <c r="BH21" s="58" t="e">
        <f t="shared" si="24"/>
        <v>#DIV/0!</v>
      </c>
      <c r="BI21" s="61"/>
      <c r="BJ21" s="58" t="e">
        <f t="shared" si="25"/>
        <v>#DIV/0!</v>
      </c>
      <c r="BK21" s="61">
        <f t="shared" si="26"/>
        <v>0</v>
      </c>
      <c r="BL21" s="58" t="e">
        <f t="shared" si="27"/>
        <v>#DIV/0!</v>
      </c>
    </row>
    <row r="22" spans="1:64" ht="15.75" customHeight="1" x14ac:dyDescent="0.35">
      <c r="A22" s="5">
        <v>6</v>
      </c>
      <c r="B22" s="6" t="s">
        <v>10</v>
      </c>
      <c r="C22" s="54">
        <v>2</v>
      </c>
      <c r="D22" s="54">
        <v>2</v>
      </c>
      <c r="E22" s="64" t="str">
        <f t="shared" si="32"/>
        <v>Ya</v>
      </c>
      <c r="F22" s="54">
        <v>23</v>
      </c>
      <c r="G22" s="54">
        <v>28</v>
      </c>
      <c r="H22" s="55">
        <f t="shared" si="0"/>
        <v>0.8214285714285714</v>
      </c>
      <c r="I22" s="56">
        <v>345</v>
      </c>
      <c r="J22" s="57">
        <v>74</v>
      </c>
      <c r="K22" s="58">
        <f t="shared" si="1"/>
        <v>21.44927536231884</v>
      </c>
      <c r="L22" s="59">
        <v>79</v>
      </c>
      <c r="M22" s="59">
        <v>79</v>
      </c>
      <c r="N22" s="60">
        <f t="shared" si="2"/>
        <v>100</v>
      </c>
      <c r="O22" s="63">
        <f t="shared" si="28"/>
        <v>55</v>
      </c>
      <c r="P22" s="59">
        <v>4</v>
      </c>
      <c r="Q22" s="58">
        <f t="shared" si="3"/>
        <v>7.2727272727272725</v>
      </c>
      <c r="R22" s="61">
        <f t="shared" si="29"/>
        <v>36</v>
      </c>
      <c r="S22" s="59">
        <v>0</v>
      </c>
      <c r="T22" s="58">
        <f t="shared" si="4"/>
        <v>0</v>
      </c>
      <c r="U22" s="63">
        <f t="shared" si="30"/>
        <v>6122</v>
      </c>
      <c r="V22" s="59">
        <v>0</v>
      </c>
      <c r="W22" s="58">
        <f t="shared" si="5"/>
        <v>0</v>
      </c>
      <c r="X22" s="61"/>
      <c r="Y22" s="58">
        <f t="shared" si="6"/>
        <v>0</v>
      </c>
      <c r="Z22" s="61"/>
      <c r="AA22" s="61"/>
      <c r="AB22" s="22">
        <f t="shared" si="7"/>
        <v>0</v>
      </c>
      <c r="AC22" s="61"/>
      <c r="AD22" s="58" t="e">
        <f t="shared" si="8"/>
        <v>#DIV/0!</v>
      </c>
      <c r="AE22" s="61"/>
      <c r="AF22" s="58" t="e">
        <f t="shared" si="9"/>
        <v>#DIV/0!</v>
      </c>
      <c r="AG22" s="61">
        <f t="shared" si="10"/>
        <v>0</v>
      </c>
      <c r="AH22" s="58" t="e">
        <f t="shared" si="11"/>
        <v>#DIV/0!</v>
      </c>
      <c r="AI22" s="61"/>
      <c r="AJ22" s="61"/>
      <c r="AK22" s="22">
        <f t="shared" si="12"/>
        <v>0</v>
      </c>
      <c r="AL22" s="61"/>
      <c r="AM22" s="58" t="e">
        <f t="shared" si="13"/>
        <v>#DIV/0!</v>
      </c>
      <c r="AN22" s="61"/>
      <c r="AO22" s="58" t="e">
        <f t="shared" si="14"/>
        <v>#DIV/0!</v>
      </c>
      <c r="AP22" s="61">
        <f t="shared" si="15"/>
        <v>0</v>
      </c>
      <c r="AQ22" s="58" t="e">
        <f t="shared" si="16"/>
        <v>#DIV/0!</v>
      </c>
      <c r="AR22" s="63">
        <f t="shared" si="31"/>
        <v>1908</v>
      </c>
      <c r="AS22" s="61"/>
      <c r="AT22" s="58">
        <f t="shared" si="17"/>
        <v>0</v>
      </c>
      <c r="AU22" s="61"/>
      <c r="AV22" s="61"/>
      <c r="AW22" s="22">
        <f t="shared" si="18"/>
        <v>0</v>
      </c>
      <c r="AX22" s="61"/>
      <c r="AY22" s="58" t="e">
        <f t="shared" si="19"/>
        <v>#DIV/0!</v>
      </c>
      <c r="AZ22" s="61"/>
      <c r="BA22" s="58" t="e">
        <f t="shared" si="20"/>
        <v>#DIV/0!</v>
      </c>
      <c r="BB22" s="61">
        <f t="shared" si="21"/>
        <v>0</v>
      </c>
      <c r="BC22" s="58" t="e">
        <f t="shared" si="22"/>
        <v>#DIV/0!</v>
      </c>
      <c r="BD22" s="61"/>
      <c r="BE22" s="61"/>
      <c r="BF22" s="22">
        <f t="shared" si="23"/>
        <v>0</v>
      </c>
      <c r="BG22" s="61"/>
      <c r="BH22" s="58" t="e">
        <f t="shared" si="24"/>
        <v>#DIV/0!</v>
      </c>
      <c r="BI22" s="61"/>
      <c r="BJ22" s="58" t="e">
        <f t="shared" si="25"/>
        <v>#DIV/0!</v>
      </c>
      <c r="BK22" s="61">
        <f t="shared" si="26"/>
        <v>0</v>
      </c>
      <c r="BL22" s="58" t="e">
        <f t="shared" si="27"/>
        <v>#DIV/0!</v>
      </c>
    </row>
    <row r="23" spans="1:64" ht="15.75" customHeight="1" x14ac:dyDescent="0.35">
      <c r="A23" s="9">
        <v>7</v>
      </c>
      <c r="B23" s="6" t="s">
        <v>11</v>
      </c>
      <c r="C23" s="54">
        <v>2</v>
      </c>
      <c r="D23" s="54">
        <v>2</v>
      </c>
      <c r="E23" s="64" t="str">
        <f t="shared" si="32"/>
        <v>Ya</v>
      </c>
      <c r="F23" s="54">
        <v>23</v>
      </c>
      <c r="G23" s="54">
        <v>18</v>
      </c>
      <c r="H23" s="55">
        <f t="shared" si="0"/>
        <v>1.2777777777777777</v>
      </c>
      <c r="I23" s="56">
        <v>292</v>
      </c>
      <c r="J23" s="57">
        <v>75</v>
      </c>
      <c r="K23" s="58">
        <f t="shared" si="1"/>
        <v>25.684931506849317</v>
      </c>
      <c r="L23" s="59">
        <v>49</v>
      </c>
      <c r="M23" s="59">
        <v>49</v>
      </c>
      <c r="N23" s="60">
        <f t="shared" si="2"/>
        <v>100</v>
      </c>
      <c r="O23" s="63">
        <f t="shared" si="28"/>
        <v>55</v>
      </c>
      <c r="P23" s="59">
        <v>3</v>
      </c>
      <c r="Q23" s="58">
        <f t="shared" si="3"/>
        <v>5.4545454545454541</v>
      </c>
      <c r="R23" s="61">
        <f t="shared" si="29"/>
        <v>36</v>
      </c>
      <c r="S23" s="59">
        <v>0</v>
      </c>
      <c r="T23" s="58">
        <f t="shared" si="4"/>
        <v>0</v>
      </c>
      <c r="U23" s="63">
        <f t="shared" si="30"/>
        <v>6122</v>
      </c>
      <c r="V23" s="59">
        <v>0</v>
      </c>
      <c r="W23" s="58">
        <f t="shared" si="5"/>
        <v>0</v>
      </c>
      <c r="X23" s="61"/>
      <c r="Y23" s="58">
        <f t="shared" si="6"/>
        <v>0</v>
      </c>
      <c r="Z23" s="61"/>
      <c r="AA23" s="61"/>
      <c r="AB23" s="22">
        <f t="shared" si="7"/>
        <v>0</v>
      </c>
      <c r="AC23" s="61"/>
      <c r="AD23" s="58" t="e">
        <f t="shared" si="8"/>
        <v>#DIV/0!</v>
      </c>
      <c r="AE23" s="61"/>
      <c r="AF23" s="58" t="e">
        <f t="shared" si="9"/>
        <v>#DIV/0!</v>
      </c>
      <c r="AG23" s="61">
        <f t="shared" si="10"/>
        <v>0</v>
      </c>
      <c r="AH23" s="58" t="e">
        <f t="shared" si="11"/>
        <v>#DIV/0!</v>
      </c>
      <c r="AI23" s="61"/>
      <c r="AJ23" s="61"/>
      <c r="AK23" s="22">
        <f t="shared" si="12"/>
        <v>0</v>
      </c>
      <c r="AL23" s="61"/>
      <c r="AM23" s="58" t="e">
        <f t="shared" si="13"/>
        <v>#DIV/0!</v>
      </c>
      <c r="AN23" s="61"/>
      <c r="AO23" s="58" t="e">
        <f t="shared" si="14"/>
        <v>#DIV/0!</v>
      </c>
      <c r="AP23" s="61">
        <f t="shared" si="15"/>
        <v>0</v>
      </c>
      <c r="AQ23" s="58" t="e">
        <f t="shared" si="16"/>
        <v>#DIV/0!</v>
      </c>
      <c r="AR23" s="63">
        <f t="shared" si="31"/>
        <v>1908</v>
      </c>
      <c r="AS23" s="61"/>
      <c r="AT23" s="58">
        <f t="shared" si="17"/>
        <v>0</v>
      </c>
      <c r="AU23" s="61"/>
      <c r="AV23" s="61"/>
      <c r="AW23" s="22">
        <f t="shared" si="18"/>
        <v>0</v>
      </c>
      <c r="AX23" s="61"/>
      <c r="AY23" s="58" t="e">
        <f t="shared" si="19"/>
        <v>#DIV/0!</v>
      </c>
      <c r="AZ23" s="61"/>
      <c r="BA23" s="58" t="e">
        <f t="shared" si="20"/>
        <v>#DIV/0!</v>
      </c>
      <c r="BB23" s="61">
        <f t="shared" si="21"/>
        <v>0</v>
      </c>
      <c r="BC23" s="58" t="e">
        <f t="shared" si="22"/>
        <v>#DIV/0!</v>
      </c>
      <c r="BD23" s="61"/>
      <c r="BE23" s="61"/>
      <c r="BF23" s="22">
        <f t="shared" si="23"/>
        <v>0</v>
      </c>
      <c r="BG23" s="61"/>
      <c r="BH23" s="58" t="e">
        <f t="shared" si="24"/>
        <v>#DIV/0!</v>
      </c>
      <c r="BI23" s="61"/>
      <c r="BJ23" s="58" t="e">
        <f t="shared" si="25"/>
        <v>#DIV/0!</v>
      </c>
      <c r="BK23" s="61">
        <f t="shared" si="26"/>
        <v>0</v>
      </c>
      <c r="BL23" s="58" t="e">
        <f t="shared" si="27"/>
        <v>#DIV/0!</v>
      </c>
    </row>
    <row r="24" spans="1:64" ht="15.75" customHeight="1" x14ac:dyDescent="0.3">
      <c r="A24" s="7">
        <v>8</v>
      </c>
      <c r="B24" s="8" t="s">
        <v>12</v>
      </c>
      <c r="C24" s="65">
        <f t="shared" ref="C24:D24" si="41">MAX(C21:C23)</f>
        <v>2</v>
      </c>
      <c r="D24" s="65">
        <f t="shared" si="41"/>
        <v>2</v>
      </c>
      <c r="E24" s="66" t="str">
        <f t="shared" si="32"/>
        <v>Ya</v>
      </c>
      <c r="F24" s="65">
        <f t="shared" ref="F24:G24" si="42">SUM(F21:F23)</f>
        <v>68</v>
      </c>
      <c r="G24" s="65">
        <f t="shared" si="42"/>
        <v>57</v>
      </c>
      <c r="H24" s="67">
        <f t="shared" si="0"/>
        <v>1.1929824561403508</v>
      </c>
      <c r="I24" s="65">
        <f t="shared" ref="I24:J24" si="43">SUM(I21:I23)</f>
        <v>887</v>
      </c>
      <c r="J24" s="65">
        <f t="shared" si="43"/>
        <v>208</v>
      </c>
      <c r="K24" s="68">
        <f t="shared" si="1"/>
        <v>23.449830890642616</v>
      </c>
      <c r="L24" s="69">
        <f t="shared" ref="L24:M24" si="44">SUM(L21:L23)</f>
        <v>181</v>
      </c>
      <c r="M24" s="69">
        <f t="shared" si="44"/>
        <v>181</v>
      </c>
      <c r="N24" s="70">
        <f t="shared" si="2"/>
        <v>100</v>
      </c>
      <c r="O24" s="71">
        <f t="shared" si="28"/>
        <v>55</v>
      </c>
      <c r="P24" s="69">
        <f>SUM(P21:P23)</f>
        <v>7</v>
      </c>
      <c r="Q24" s="68">
        <f t="shared" si="3"/>
        <v>12.727272727272727</v>
      </c>
      <c r="R24" s="69">
        <f t="shared" si="29"/>
        <v>36</v>
      </c>
      <c r="S24" s="69">
        <f>SUM(S21:S23)</f>
        <v>0</v>
      </c>
      <c r="T24" s="68">
        <f t="shared" si="4"/>
        <v>0</v>
      </c>
      <c r="U24" s="71">
        <f t="shared" si="30"/>
        <v>6122</v>
      </c>
      <c r="V24" s="69">
        <f>SUM(V21:V23)</f>
        <v>0</v>
      </c>
      <c r="W24" s="68">
        <f t="shared" si="5"/>
        <v>0</v>
      </c>
      <c r="X24" s="69">
        <f>SUM(X21:X23)</f>
        <v>0</v>
      </c>
      <c r="Y24" s="68">
        <f t="shared" si="6"/>
        <v>0</v>
      </c>
      <c r="Z24" s="69">
        <f t="shared" ref="Z24:AA24" si="45">MAX(Z21:Z23)</f>
        <v>0</v>
      </c>
      <c r="AA24" s="69">
        <f t="shared" si="45"/>
        <v>0</v>
      </c>
      <c r="AB24" s="72">
        <f t="shared" si="7"/>
        <v>0</v>
      </c>
      <c r="AC24" s="69">
        <f>SUM(AC21:AC23)</f>
        <v>0</v>
      </c>
      <c r="AD24" s="68" t="e">
        <f t="shared" si="8"/>
        <v>#DIV/0!</v>
      </c>
      <c r="AE24" s="69">
        <f>SUM(AE21:AE23)</f>
        <v>0</v>
      </c>
      <c r="AF24" s="68" t="e">
        <f t="shared" si="9"/>
        <v>#DIV/0!</v>
      </c>
      <c r="AG24" s="69">
        <f t="shared" si="10"/>
        <v>0</v>
      </c>
      <c r="AH24" s="68" t="e">
        <f t="shared" si="11"/>
        <v>#DIV/0!</v>
      </c>
      <c r="AI24" s="69">
        <f t="shared" ref="AI24:AJ24" si="46">SUM(AI21:AI23)</f>
        <v>0</v>
      </c>
      <c r="AJ24" s="69">
        <f t="shared" si="46"/>
        <v>0</v>
      </c>
      <c r="AK24" s="72">
        <f t="shared" si="12"/>
        <v>0</v>
      </c>
      <c r="AL24" s="69">
        <f>SUM(AL21:AL23)</f>
        <v>0</v>
      </c>
      <c r="AM24" s="68" t="e">
        <f t="shared" si="13"/>
        <v>#DIV/0!</v>
      </c>
      <c r="AN24" s="69">
        <f>SUM(AN21:AN23)</f>
        <v>0</v>
      </c>
      <c r="AO24" s="68" t="e">
        <f t="shared" si="14"/>
        <v>#DIV/0!</v>
      </c>
      <c r="AP24" s="69">
        <f t="shared" si="15"/>
        <v>0</v>
      </c>
      <c r="AQ24" s="68" t="e">
        <f t="shared" si="16"/>
        <v>#DIV/0!</v>
      </c>
      <c r="AR24" s="71">
        <f t="shared" si="31"/>
        <v>1908</v>
      </c>
      <c r="AS24" s="69">
        <f>SUM(AS21:AS23)</f>
        <v>0</v>
      </c>
      <c r="AT24" s="68">
        <f t="shared" si="17"/>
        <v>0</v>
      </c>
      <c r="AU24" s="69">
        <f t="shared" ref="AU24:AV24" si="47">MAX(AU21:AU23)</f>
        <v>0</v>
      </c>
      <c r="AV24" s="69">
        <f t="shared" si="47"/>
        <v>0</v>
      </c>
      <c r="AW24" s="72">
        <f t="shared" si="18"/>
        <v>0</v>
      </c>
      <c r="AX24" s="69">
        <f>SUM(AX21:AX23)</f>
        <v>0</v>
      </c>
      <c r="AY24" s="68" t="e">
        <f t="shared" si="19"/>
        <v>#DIV/0!</v>
      </c>
      <c r="AZ24" s="69">
        <f>SUM(AZ21:AZ23)</f>
        <v>0</v>
      </c>
      <c r="BA24" s="68" t="e">
        <f t="shared" si="20"/>
        <v>#DIV/0!</v>
      </c>
      <c r="BB24" s="69">
        <f t="shared" si="21"/>
        <v>0</v>
      </c>
      <c r="BC24" s="68" t="e">
        <f t="shared" si="22"/>
        <v>#DIV/0!</v>
      </c>
      <c r="BD24" s="69">
        <f t="shared" ref="BD24:BE24" si="48">SUM(BD21:BD23)</f>
        <v>0</v>
      </c>
      <c r="BE24" s="69">
        <f t="shared" si="48"/>
        <v>0</v>
      </c>
      <c r="BF24" s="72">
        <f t="shared" si="23"/>
        <v>0</v>
      </c>
      <c r="BG24" s="69">
        <f>SUM(BG21:BG23)</f>
        <v>0</v>
      </c>
      <c r="BH24" s="68" t="e">
        <f t="shared" si="24"/>
        <v>#DIV/0!</v>
      </c>
      <c r="BI24" s="69">
        <f>SUM(BI21:BI23)</f>
        <v>0</v>
      </c>
      <c r="BJ24" s="68" t="e">
        <f t="shared" si="25"/>
        <v>#DIV/0!</v>
      </c>
      <c r="BK24" s="69">
        <f t="shared" si="26"/>
        <v>0</v>
      </c>
      <c r="BL24" s="68" t="e">
        <f t="shared" si="27"/>
        <v>#DIV/0!</v>
      </c>
    </row>
    <row r="25" spans="1:64" ht="15.75" customHeight="1" x14ac:dyDescent="0.35">
      <c r="A25" s="5">
        <v>9</v>
      </c>
      <c r="B25" s="6" t="s">
        <v>13</v>
      </c>
      <c r="C25" s="54">
        <v>2</v>
      </c>
      <c r="D25" s="54">
        <v>2</v>
      </c>
      <c r="E25" s="64" t="str">
        <f t="shared" si="32"/>
        <v>Ya</v>
      </c>
      <c r="F25" s="54">
        <v>37</v>
      </c>
      <c r="G25" s="54">
        <v>34</v>
      </c>
      <c r="H25" s="55">
        <f t="shared" si="0"/>
        <v>1.088235294117647</v>
      </c>
      <c r="I25" s="56">
        <v>395</v>
      </c>
      <c r="J25" s="57">
        <v>78</v>
      </c>
      <c r="K25" s="58">
        <f t="shared" si="1"/>
        <v>19.746835443037973</v>
      </c>
      <c r="L25" s="59">
        <v>80</v>
      </c>
      <c r="M25" s="59">
        <v>80</v>
      </c>
      <c r="N25" s="60">
        <f t="shared" si="2"/>
        <v>100</v>
      </c>
      <c r="O25" s="63">
        <f t="shared" si="28"/>
        <v>55</v>
      </c>
      <c r="P25" s="59">
        <v>0</v>
      </c>
      <c r="Q25" s="58">
        <f t="shared" si="3"/>
        <v>0</v>
      </c>
      <c r="R25" s="61">
        <f t="shared" si="29"/>
        <v>36</v>
      </c>
      <c r="S25" s="59">
        <v>0</v>
      </c>
      <c r="T25" s="58">
        <f t="shared" si="4"/>
        <v>0</v>
      </c>
      <c r="U25" s="63">
        <f t="shared" si="30"/>
        <v>6122</v>
      </c>
      <c r="V25" s="59">
        <v>0</v>
      </c>
      <c r="W25" s="58">
        <f t="shared" si="5"/>
        <v>0</v>
      </c>
      <c r="X25" s="61"/>
      <c r="Y25" s="58">
        <f t="shared" si="6"/>
        <v>0</v>
      </c>
      <c r="Z25" s="61"/>
      <c r="AA25" s="61"/>
      <c r="AB25" s="22">
        <f t="shared" si="7"/>
        <v>0</v>
      </c>
      <c r="AC25" s="61"/>
      <c r="AD25" s="58" t="e">
        <f t="shared" si="8"/>
        <v>#DIV/0!</v>
      </c>
      <c r="AE25" s="61"/>
      <c r="AF25" s="58" t="e">
        <f t="shared" si="9"/>
        <v>#DIV/0!</v>
      </c>
      <c r="AG25" s="61">
        <f t="shared" si="10"/>
        <v>0</v>
      </c>
      <c r="AH25" s="58" t="e">
        <f t="shared" si="11"/>
        <v>#DIV/0!</v>
      </c>
      <c r="AI25" s="61"/>
      <c r="AJ25" s="61"/>
      <c r="AK25" s="22">
        <f t="shared" si="12"/>
        <v>0</v>
      </c>
      <c r="AL25" s="61"/>
      <c r="AM25" s="58" t="e">
        <f t="shared" si="13"/>
        <v>#DIV/0!</v>
      </c>
      <c r="AN25" s="61"/>
      <c r="AO25" s="58" t="e">
        <f t="shared" si="14"/>
        <v>#DIV/0!</v>
      </c>
      <c r="AP25" s="61">
        <f t="shared" si="15"/>
        <v>0</v>
      </c>
      <c r="AQ25" s="58" t="e">
        <f t="shared" si="16"/>
        <v>#DIV/0!</v>
      </c>
      <c r="AR25" s="63">
        <f t="shared" si="31"/>
        <v>1908</v>
      </c>
      <c r="AS25" s="61"/>
      <c r="AT25" s="58">
        <f t="shared" si="17"/>
        <v>0</v>
      </c>
      <c r="AU25" s="61"/>
      <c r="AV25" s="61"/>
      <c r="AW25" s="22">
        <f t="shared" si="18"/>
        <v>0</v>
      </c>
      <c r="AX25" s="61"/>
      <c r="AY25" s="58" t="e">
        <f t="shared" si="19"/>
        <v>#DIV/0!</v>
      </c>
      <c r="AZ25" s="61"/>
      <c r="BA25" s="58" t="e">
        <f t="shared" si="20"/>
        <v>#DIV/0!</v>
      </c>
      <c r="BB25" s="61">
        <f t="shared" si="21"/>
        <v>0</v>
      </c>
      <c r="BC25" s="58" t="e">
        <f t="shared" si="22"/>
        <v>#DIV/0!</v>
      </c>
      <c r="BD25" s="61"/>
      <c r="BE25" s="61"/>
      <c r="BF25" s="22">
        <f t="shared" si="23"/>
        <v>0</v>
      </c>
      <c r="BG25" s="61"/>
      <c r="BH25" s="58" t="e">
        <f t="shared" si="24"/>
        <v>#DIV/0!</v>
      </c>
      <c r="BI25" s="61"/>
      <c r="BJ25" s="58" t="e">
        <f t="shared" si="25"/>
        <v>#DIV/0!</v>
      </c>
      <c r="BK25" s="61">
        <f t="shared" si="26"/>
        <v>0</v>
      </c>
      <c r="BL25" s="58" t="e">
        <f t="shared" si="27"/>
        <v>#DIV/0!</v>
      </c>
    </row>
    <row r="26" spans="1:64" ht="15.75" customHeight="1" x14ac:dyDescent="0.35">
      <c r="A26" s="5">
        <v>10</v>
      </c>
      <c r="B26" s="6" t="s">
        <v>14</v>
      </c>
      <c r="C26" s="54">
        <v>2</v>
      </c>
      <c r="D26" s="54">
        <v>2</v>
      </c>
      <c r="E26" s="64" t="str">
        <f t="shared" si="32"/>
        <v>Ya</v>
      </c>
      <c r="F26" s="54">
        <v>58</v>
      </c>
      <c r="G26" s="54">
        <v>27</v>
      </c>
      <c r="H26" s="55">
        <f t="shared" si="0"/>
        <v>2.1481481481481484</v>
      </c>
      <c r="I26" s="56">
        <v>395</v>
      </c>
      <c r="J26" s="57">
        <v>75</v>
      </c>
      <c r="K26" s="58">
        <f t="shared" si="1"/>
        <v>18.9873417721519</v>
      </c>
      <c r="L26" s="59">
        <v>89</v>
      </c>
      <c r="M26" s="59">
        <v>89</v>
      </c>
      <c r="N26" s="60">
        <f t="shared" si="2"/>
        <v>100</v>
      </c>
      <c r="O26" s="63">
        <f t="shared" si="28"/>
        <v>55</v>
      </c>
      <c r="P26" s="59">
        <v>7</v>
      </c>
      <c r="Q26" s="58">
        <f t="shared" si="3"/>
        <v>12.727272727272727</v>
      </c>
      <c r="R26" s="61">
        <f t="shared" si="29"/>
        <v>36</v>
      </c>
      <c r="S26" s="59">
        <v>0</v>
      </c>
      <c r="T26" s="58">
        <f t="shared" si="4"/>
        <v>0</v>
      </c>
      <c r="U26" s="63">
        <f t="shared" si="30"/>
        <v>6122</v>
      </c>
      <c r="V26" s="59">
        <v>0</v>
      </c>
      <c r="W26" s="58">
        <f t="shared" si="5"/>
        <v>0</v>
      </c>
      <c r="X26" s="61"/>
      <c r="Y26" s="58">
        <f t="shared" si="6"/>
        <v>0</v>
      </c>
      <c r="Z26" s="61"/>
      <c r="AA26" s="61"/>
      <c r="AB26" s="22">
        <f t="shared" si="7"/>
        <v>0</v>
      </c>
      <c r="AC26" s="61"/>
      <c r="AD26" s="58" t="e">
        <f t="shared" si="8"/>
        <v>#DIV/0!</v>
      </c>
      <c r="AE26" s="61"/>
      <c r="AF26" s="58" t="e">
        <f t="shared" si="9"/>
        <v>#DIV/0!</v>
      </c>
      <c r="AG26" s="61">
        <f t="shared" si="10"/>
        <v>0</v>
      </c>
      <c r="AH26" s="58" t="e">
        <f t="shared" si="11"/>
        <v>#DIV/0!</v>
      </c>
      <c r="AI26" s="61"/>
      <c r="AJ26" s="61"/>
      <c r="AK26" s="22">
        <f t="shared" si="12"/>
        <v>0</v>
      </c>
      <c r="AL26" s="61"/>
      <c r="AM26" s="58" t="e">
        <f t="shared" si="13"/>
        <v>#DIV/0!</v>
      </c>
      <c r="AN26" s="61"/>
      <c r="AO26" s="58" t="e">
        <f t="shared" si="14"/>
        <v>#DIV/0!</v>
      </c>
      <c r="AP26" s="61">
        <f t="shared" si="15"/>
        <v>0</v>
      </c>
      <c r="AQ26" s="58" t="e">
        <f t="shared" si="16"/>
        <v>#DIV/0!</v>
      </c>
      <c r="AR26" s="63">
        <f t="shared" si="31"/>
        <v>1908</v>
      </c>
      <c r="AS26" s="61"/>
      <c r="AT26" s="58">
        <f t="shared" si="17"/>
        <v>0</v>
      </c>
      <c r="AU26" s="61"/>
      <c r="AV26" s="61"/>
      <c r="AW26" s="22">
        <f t="shared" si="18"/>
        <v>0</v>
      </c>
      <c r="AX26" s="61"/>
      <c r="AY26" s="58" t="e">
        <f t="shared" si="19"/>
        <v>#DIV/0!</v>
      </c>
      <c r="AZ26" s="61"/>
      <c r="BA26" s="58" t="e">
        <f t="shared" si="20"/>
        <v>#DIV/0!</v>
      </c>
      <c r="BB26" s="61">
        <f t="shared" si="21"/>
        <v>0</v>
      </c>
      <c r="BC26" s="58" t="e">
        <f t="shared" si="22"/>
        <v>#DIV/0!</v>
      </c>
      <c r="BD26" s="61"/>
      <c r="BE26" s="61"/>
      <c r="BF26" s="22">
        <f t="shared" si="23"/>
        <v>0</v>
      </c>
      <c r="BG26" s="61"/>
      <c r="BH26" s="58" t="e">
        <f t="shared" si="24"/>
        <v>#DIV/0!</v>
      </c>
      <c r="BI26" s="61"/>
      <c r="BJ26" s="58" t="e">
        <f t="shared" si="25"/>
        <v>#DIV/0!</v>
      </c>
      <c r="BK26" s="61">
        <f t="shared" si="26"/>
        <v>0</v>
      </c>
      <c r="BL26" s="58" t="e">
        <f t="shared" si="27"/>
        <v>#DIV/0!</v>
      </c>
    </row>
    <row r="27" spans="1:64" ht="15.75" customHeight="1" x14ac:dyDescent="0.35">
      <c r="A27" s="5">
        <v>11</v>
      </c>
      <c r="B27" s="6" t="s">
        <v>15</v>
      </c>
      <c r="C27" s="54">
        <v>2</v>
      </c>
      <c r="D27" s="54">
        <v>2</v>
      </c>
      <c r="E27" s="64" t="str">
        <f t="shared" si="32"/>
        <v>Ya</v>
      </c>
      <c r="F27" s="54">
        <v>30</v>
      </c>
      <c r="G27" s="54">
        <v>19</v>
      </c>
      <c r="H27" s="55">
        <f t="shared" si="0"/>
        <v>1.5789473684210527</v>
      </c>
      <c r="I27" s="56">
        <v>358</v>
      </c>
      <c r="J27" s="57">
        <v>85</v>
      </c>
      <c r="K27" s="58">
        <f t="shared" si="1"/>
        <v>23.743016759776538</v>
      </c>
      <c r="L27" s="59">
        <v>69</v>
      </c>
      <c r="M27" s="59">
        <v>69</v>
      </c>
      <c r="N27" s="60">
        <f t="shared" si="2"/>
        <v>100</v>
      </c>
      <c r="O27" s="63">
        <f t="shared" si="28"/>
        <v>55</v>
      </c>
      <c r="P27" s="59">
        <v>14</v>
      </c>
      <c r="Q27" s="58">
        <f t="shared" si="3"/>
        <v>25.454545454545453</v>
      </c>
      <c r="R27" s="61">
        <f t="shared" si="29"/>
        <v>36</v>
      </c>
      <c r="S27" s="59">
        <v>0</v>
      </c>
      <c r="T27" s="58">
        <f t="shared" si="4"/>
        <v>0</v>
      </c>
      <c r="U27" s="63">
        <f t="shared" si="30"/>
        <v>6122</v>
      </c>
      <c r="V27" s="59">
        <v>0</v>
      </c>
      <c r="W27" s="58">
        <f t="shared" si="5"/>
        <v>0</v>
      </c>
      <c r="X27" s="61"/>
      <c r="Y27" s="58">
        <f t="shared" si="6"/>
        <v>0</v>
      </c>
      <c r="Z27" s="61"/>
      <c r="AA27" s="61"/>
      <c r="AB27" s="22">
        <f t="shared" si="7"/>
        <v>0</v>
      </c>
      <c r="AC27" s="61"/>
      <c r="AD27" s="58" t="e">
        <f t="shared" si="8"/>
        <v>#DIV/0!</v>
      </c>
      <c r="AE27" s="61"/>
      <c r="AF27" s="58" t="e">
        <f t="shared" si="9"/>
        <v>#DIV/0!</v>
      </c>
      <c r="AG27" s="61">
        <f t="shared" si="10"/>
        <v>0</v>
      </c>
      <c r="AH27" s="58" t="e">
        <f t="shared" si="11"/>
        <v>#DIV/0!</v>
      </c>
      <c r="AI27" s="61"/>
      <c r="AJ27" s="61"/>
      <c r="AK27" s="22">
        <f t="shared" si="12"/>
        <v>0</v>
      </c>
      <c r="AL27" s="61"/>
      <c r="AM27" s="58" t="e">
        <f t="shared" si="13"/>
        <v>#DIV/0!</v>
      </c>
      <c r="AN27" s="61"/>
      <c r="AO27" s="58" t="e">
        <f t="shared" si="14"/>
        <v>#DIV/0!</v>
      </c>
      <c r="AP27" s="61">
        <f t="shared" si="15"/>
        <v>0</v>
      </c>
      <c r="AQ27" s="58" t="e">
        <f t="shared" si="16"/>
        <v>#DIV/0!</v>
      </c>
      <c r="AR27" s="63">
        <f t="shared" si="31"/>
        <v>1908</v>
      </c>
      <c r="AS27" s="61"/>
      <c r="AT27" s="58">
        <f t="shared" si="17"/>
        <v>0</v>
      </c>
      <c r="AU27" s="61"/>
      <c r="AV27" s="61"/>
      <c r="AW27" s="22">
        <f t="shared" si="18"/>
        <v>0</v>
      </c>
      <c r="AX27" s="61"/>
      <c r="AY27" s="58" t="e">
        <f t="shared" si="19"/>
        <v>#DIV/0!</v>
      </c>
      <c r="AZ27" s="61"/>
      <c r="BA27" s="58" t="e">
        <f t="shared" si="20"/>
        <v>#DIV/0!</v>
      </c>
      <c r="BB27" s="61">
        <f t="shared" si="21"/>
        <v>0</v>
      </c>
      <c r="BC27" s="58" t="e">
        <f t="shared" si="22"/>
        <v>#DIV/0!</v>
      </c>
      <c r="BD27" s="61"/>
      <c r="BE27" s="61"/>
      <c r="BF27" s="22">
        <f t="shared" si="23"/>
        <v>0</v>
      </c>
      <c r="BG27" s="61"/>
      <c r="BH27" s="58" t="e">
        <f t="shared" si="24"/>
        <v>#DIV/0!</v>
      </c>
      <c r="BI27" s="61"/>
      <c r="BJ27" s="58" t="e">
        <f t="shared" si="25"/>
        <v>#DIV/0!</v>
      </c>
      <c r="BK27" s="61">
        <f t="shared" si="26"/>
        <v>0</v>
      </c>
      <c r="BL27" s="58" t="e">
        <f t="shared" si="27"/>
        <v>#DIV/0!</v>
      </c>
    </row>
    <row r="28" spans="1:64" ht="15.75" customHeight="1" x14ac:dyDescent="0.3">
      <c r="A28" s="7">
        <v>12</v>
      </c>
      <c r="B28" s="8" t="s">
        <v>16</v>
      </c>
      <c r="C28" s="65">
        <f t="shared" ref="C28:D28" si="49">MAX(C25:C27)</f>
        <v>2</v>
      </c>
      <c r="D28" s="65">
        <f t="shared" si="49"/>
        <v>2</v>
      </c>
      <c r="E28" s="66" t="str">
        <f t="shared" si="32"/>
        <v>Ya</v>
      </c>
      <c r="F28" s="65">
        <f t="shared" ref="F28:G28" si="50">SUM(F25:F27)</f>
        <v>125</v>
      </c>
      <c r="G28" s="65">
        <f t="shared" si="50"/>
        <v>80</v>
      </c>
      <c r="H28" s="67">
        <f t="shared" si="0"/>
        <v>1.5625</v>
      </c>
      <c r="I28" s="65">
        <f t="shared" ref="I28:J28" si="51">SUM(I25:I27)</f>
        <v>1148</v>
      </c>
      <c r="J28" s="65">
        <f t="shared" si="51"/>
        <v>238</v>
      </c>
      <c r="K28" s="68">
        <f t="shared" si="1"/>
        <v>20.73170731707317</v>
      </c>
      <c r="L28" s="69">
        <f t="shared" ref="L28:M28" si="52">SUM(L25:L27)</f>
        <v>238</v>
      </c>
      <c r="M28" s="69">
        <f t="shared" si="52"/>
        <v>238</v>
      </c>
      <c r="N28" s="70">
        <f t="shared" si="2"/>
        <v>100</v>
      </c>
      <c r="O28" s="71">
        <f t="shared" si="28"/>
        <v>55</v>
      </c>
      <c r="P28" s="69">
        <f>SUM(P25:P27)</f>
        <v>21</v>
      </c>
      <c r="Q28" s="68">
        <f t="shared" si="3"/>
        <v>38.181818181818187</v>
      </c>
      <c r="R28" s="69">
        <f t="shared" si="29"/>
        <v>36</v>
      </c>
      <c r="S28" s="69">
        <f>SUM(S25:S27)</f>
        <v>0</v>
      </c>
      <c r="T28" s="68">
        <f t="shared" si="4"/>
        <v>0</v>
      </c>
      <c r="U28" s="71">
        <f t="shared" si="30"/>
        <v>6122</v>
      </c>
      <c r="V28" s="69">
        <f>SUM(V25:V27)</f>
        <v>0</v>
      </c>
      <c r="W28" s="68">
        <f t="shared" si="5"/>
        <v>0</v>
      </c>
      <c r="X28" s="69">
        <f>SUM(X25:X27)</f>
        <v>0</v>
      </c>
      <c r="Y28" s="68">
        <f t="shared" si="6"/>
        <v>0</v>
      </c>
      <c r="Z28" s="69">
        <f t="shared" ref="Z28:AA28" si="53">MAX(Z25:Z27)</f>
        <v>0</v>
      </c>
      <c r="AA28" s="69">
        <f t="shared" si="53"/>
        <v>0</v>
      </c>
      <c r="AB28" s="72">
        <f t="shared" si="7"/>
        <v>0</v>
      </c>
      <c r="AC28" s="69">
        <f>SUM(AC25:AC27)</f>
        <v>0</v>
      </c>
      <c r="AD28" s="68" t="e">
        <f t="shared" si="8"/>
        <v>#DIV/0!</v>
      </c>
      <c r="AE28" s="69">
        <f>SUM(AE25:AE27)</f>
        <v>0</v>
      </c>
      <c r="AF28" s="68" t="e">
        <f t="shared" si="9"/>
        <v>#DIV/0!</v>
      </c>
      <c r="AG28" s="69">
        <f t="shared" si="10"/>
        <v>0</v>
      </c>
      <c r="AH28" s="68" t="e">
        <f t="shared" si="11"/>
        <v>#DIV/0!</v>
      </c>
      <c r="AI28" s="69">
        <f t="shared" ref="AI28:AJ28" si="54">SUM(AI25:AI27)</f>
        <v>0</v>
      </c>
      <c r="AJ28" s="69">
        <f t="shared" si="54"/>
        <v>0</v>
      </c>
      <c r="AK28" s="72">
        <f t="shared" si="12"/>
        <v>0</v>
      </c>
      <c r="AL28" s="69">
        <f>SUM(AL25:AL27)</f>
        <v>0</v>
      </c>
      <c r="AM28" s="68" t="e">
        <f t="shared" si="13"/>
        <v>#DIV/0!</v>
      </c>
      <c r="AN28" s="69">
        <f>SUM(AN25:AN27)</f>
        <v>0</v>
      </c>
      <c r="AO28" s="68" t="e">
        <f t="shared" si="14"/>
        <v>#DIV/0!</v>
      </c>
      <c r="AP28" s="69">
        <f t="shared" si="15"/>
        <v>0</v>
      </c>
      <c r="AQ28" s="68" t="e">
        <f t="shared" si="16"/>
        <v>#DIV/0!</v>
      </c>
      <c r="AR28" s="71">
        <f t="shared" si="31"/>
        <v>1908</v>
      </c>
      <c r="AS28" s="69">
        <f>SUM(AS25:AS27)</f>
        <v>0</v>
      </c>
      <c r="AT28" s="68">
        <f t="shared" si="17"/>
        <v>0</v>
      </c>
      <c r="AU28" s="69">
        <f t="shared" ref="AU28:AV28" si="55">MAX(AU25:AU27)</f>
        <v>0</v>
      </c>
      <c r="AV28" s="69">
        <f t="shared" si="55"/>
        <v>0</v>
      </c>
      <c r="AW28" s="72">
        <f t="shared" si="18"/>
        <v>0</v>
      </c>
      <c r="AX28" s="69">
        <f>SUM(AX25:AX27)</f>
        <v>0</v>
      </c>
      <c r="AY28" s="68" t="e">
        <f t="shared" si="19"/>
        <v>#DIV/0!</v>
      </c>
      <c r="AZ28" s="69">
        <f>SUM(AZ25:AZ27)</f>
        <v>0</v>
      </c>
      <c r="BA28" s="68" t="e">
        <f t="shared" si="20"/>
        <v>#DIV/0!</v>
      </c>
      <c r="BB28" s="69">
        <f t="shared" si="21"/>
        <v>0</v>
      </c>
      <c r="BC28" s="68" t="e">
        <f t="shared" si="22"/>
        <v>#DIV/0!</v>
      </c>
      <c r="BD28" s="69">
        <f t="shared" ref="BD28:BE28" si="56">SUM(BD25:BD27)</f>
        <v>0</v>
      </c>
      <c r="BE28" s="69">
        <f t="shared" si="56"/>
        <v>0</v>
      </c>
      <c r="BF28" s="72">
        <f t="shared" si="23"/>
        <v>0</v>
      </c>
      <c r="BG28" s="69">
        <f>SUM(BG25:BG27)</f>
        <v>0</v>
      </c>
      <c r="BH28" s="68" t="e">
        <f t="shared" si="24"/>
        <v>#DIV/0!</v>
      </c>
      <c r="BI28" s="69">
        <f>SUM(BI25:BI27)</f>
        <v>0</v>
      </c>
      <c r="BJ28" s="68" t="e">
        <f t="shared" si="25"/>
        <v>#DIV/0!</v>
      </c>
      <c r="BK28" s="69">
        <f t="shared" si="26"/>
        <v>0</v>
      </c>
      <c r="BL28" s="68" t="e">
        <f t="shared" si="27"/>
        <v>#DIV/0!</v>
      </c>
    </row>
    <row r="29" spans="1:64" ht="15.75" customHeight="1" x14ac:dyDescent="0.35">
      <c r="A29" s="5">
        <v>13</v>
      </c>
      <c r="B29" s="6" t="s">
        <v>17</v>
      </c>
      <c r="C29" s="54">
        <v>2</v>
      </c>
      <c r="D29" s="54">
        <v>2</v>
      </c>
      <c r="E29" s="64" t="str">
        <f t="shared" si="32"/>
        <v>Ya</v>
      </c>
      <c r="F29" s="54">
        <v>35</v>
      </c>
      <c r="G29" s="54">
        <v>28</v>
      </c>
      <c r="H29" s="55">
        <f t="shared" si="0"/>
        <v>1.25</v>
      </c>
      <c r="I29" s="56">
        <v>449</v>
      </c>
      <c r="J29" s="57">
        <v>99</v>
      </c>
      <c r="K29" s="58">
        <f t="shared" si="1"/>
        <v>22.048997772828507</v>
      </c>
      <c r="L29" s="59">
        <v>78</v>
      </c>
      <c r="M29" s="59">
        <v>78</v>
      </c>
      <c r="N29" s="60">
        <f t="shared" si="2"/>
        <v>100</v>
      </c>
      <c r="O29" s="63">
        <f t="shared" si="28"/>
        <v>55</v>
      </c>
      <c r="P29" s="59">
        <v>0</v>
      </c>
      <c r="Q29" s="58">
        <f t="shared" si="3"/>
        <v>0</v>
      </c>
      <c r="R29" s="61">
        <f t="shared" si="29"/>
        <v>36</v>
      </c>
      <c r="S29" s="59">
        <v>0</v>
      </c>
      <c r="T29" s="58">
        <f t="shared" si="4"/>
        <v>0</v>
      </c>
      <c r="U29" s="63">
        <f t="shared" si="30"/>
        <v>6122</v>
      </c>
      <c r="V29" s="59">
        <v>0</v>
      </c>
      <c r="W29" s="58">
        <f t="shared" si="5"/>
        <v>0</v>
      </c>
      <c r="X29" s="61"/>
      <c r="Y29" s="58">
        <f t="shared" si="6"/>
        <v>0</v>
      </c>
      <c r="Z29" s="61"/>
      <c r="AA29" s="61"/>
      <c r="AB29" s="22">
        <f t="shared" si="7"/>
        <v>0</v>
      </c>
      <c r="AC29" s="61"/>
      <c r="AD29" s="58" t="e">
        <f t="shared" si="8"/>
        <v>#DIV/0!</v>
      </c>
      <c r="AE29" s="61"/>
      <c r="AF29" s="58" t="e">
        <f t="shared" si="9"/>
        <v>#DIV/0!</v>
      </c>
      <c r="AG29" s="61">
        <f t="shared" si="10"/>
        <v>0</v>
      </c>
      <c r="AH29" s="58" t="e">
        <f t="shared" si="11"/>
        <v>#DIV/0!</v>
      </c>
      <c r="AI29" s="61"/>
      <c r="AJ29" s="61"/>
      <c r="AK29" s="22">
        <f t="shared" si="12"/>
        <v>0</v>
      </c>
      <c r="AL29" s="61"/>
      <c r="AM29" s="58" t="e">
        <f t="shared" si="13"/>
        <v>#DIV/0!</v>
      </c>
      <c r="AN29" s="61"/>
      <c r="AO29" s="58" t="e">
        <f t="shared" si="14"/>
        <v>#DIV/0!</v>
      </c>
      <c r="AP29" s="61">
        <f t="shared" si="15"/>
        <v>0</v>
      </c>
      <c r="AQ29" s="58" t="e">
        <f t="shared" si="16"/>
        <v>#DIV/0!</v>
      </c>
      <c r="AR29" s="63">
        <f t="shared" si="31"/>
        <v>1908</v>
      </c>
      <c r="AS29" s="61"/>
      <c r="AT29" s="58">
        <f t="shared" si="17"/>
        <v>0</v>
      </c>
      <c r="AU29" s="61"/>
      <c r="AV29" s="61"/>
      <c r="AW29" s="22">
        <f t="shared" si="18"/>
        <v>0</v>
      </c>
      <c r="AX29" s="61"/>
      <c r="AY29" s="58" t="e">
        <f t="shared" si="19"/>
        <v>#DIV/0!</v>
      </c>
      <c r="AZ29" s="61"/>
      <c r="BA29" s="58" t="e">
        <f t="shared" si="20"/>
        <v>#DIV/0!</v>
      </c>
      <c r="BB29" s="61">
        <f t="shared" si="21"/>
        <v>0</v>
      </c>
      <c r="BC29" s="58" t="e">
        <f t="shared" si="22"/>
        <v>#DIV/0!</v>
      </c>
      <c r="BD29" s="61"/>
      <c r="BE29" s="61"/>
      <c r="BF29" s="22">
        <f t="shared" si="23"/>
        <v>0</v>
      </c>
      <c r="BG29" s="61"/>
      <c r="BH29" s="58" t="e">
        <f t="shared" si="24"/>
        <v>#DIV/0!</v>
      </c>
      <c r="BI29" s="61"/>
      <c r="BJ29" s="58" t="e">
        <f t="shared" si="25"/>
        <v>#DIV/0!</v>
      </c>
      <c r="BK29" s="61">
        <f t="shared" si="26"/>
        <v>0</v>
      </c>
      <c r="BL29" s="58" t="e">
        <f t="shared" si="27"/>
        <v>#DIV/0!</v>
      </c>
    </row>
    <row r="30" spans="1:64" ht="15.75" customHeight="1" x14ac:dyDescent="0.35">
      <c r="A30" s="5">
        <v>14</v>
      </c>
      <c r="B30" s="6" t="s">
        <v>18</v>
      </c>
      <c r="C30" s="54">
        <v>2</v>
      </c>
      <c r="D30" s="54">
        <v>2</v>
      </c>
      <c r="E30" s="64" t="str">
        <f t="shared" si="32"/>
        <v>Ya</v>
      </c>
      <c r="F30" s="54">
        <v>33</v>
      </c>
      <c r="G30" s="54">
        <v>28</v>
      </c>
      <c r="H30" s="55">
        <f t="shared" si="0"/>
        <v>1.1785714285714286</v>
      </c>
      <c r="I30" s="56">
        <v>431</v>
      </c>
      <c r="J30" s="57">
        <v>89</v>
      </c>
      <c r="K30" s="58">
        <f t="shared" si="1"/>
        <v>20.649651972157773</v>
      </c>
      <c r="L30" s="59">
        <v>53</v>
      </c>
      <c r="M30" s="59">
        <v>53</v>
      </c>
      <c r="N30" s="60">
        <f t="shared" si="2"/>
        <v>100</v>
      </c>
      <c r="O30" s="63">
        <f t="shared" si="28"/>
        <v>55</v>
      </c>
      <c r="P30" s="59">
        <v>0</v>
      </c>
      <c r="Q30" s="58">
        <f t="shared" si="3"/>
        <v>0</v>
      </c>
      <c r="R30" s="61">
        <f t="shared" si="29"/>
        <v>36</v>
      </c>
      <c r="S30" s="59">
        <v>0</v>
      </c>
      <c r="T30" s="58">
        <f t="shared" si="4"/>
        <v>0</v>
      </c>
      <c r="U30" s="63">
        <f t="shared" si="30"/>
        <v>6122</v>
      </c>
      <c r="V30" s="59">
        <v>0</v>
      </c>
      <c r="W30" s="58">
        <f t="shared" si="5"/>
        <v>0</v>
      </c>
      <c r="X30" s="61"/>
      <c r="Y30" s="58">
        <f t="shared" si="6"/>
        <v>0</v>
      </c>
      <c r="Z30" s="61"/>
      <c r="AA30" s="61"/>
      <c r="AB30" s="22">
        <f t="shared" si="7"/>
        <v>0</v>
      </c>
      <c r="AC30" s="61"/>
      <c r="AD30" s="58" t="e">
        <f t="shared" si="8"/>
        <v>#DIV/0!</v>
      </c>
      <c r="AE30" s="61"/>
      <c r="AF30" s="58" t="e">
        <f t="shared" si="9"/>
        <v>#DIV/0!</v>
      </c>
      <c r="AG30" s="61">
        <f t="shared" si="10"/>
        <v>0</v>
      </c>
      <c r="AH30" s="58" t="e">
        <f t="shared" si="11"/>
        <v>#DIV/0!</v>
      </c>
      <c r="AI30" s="61"/>
      <c r="AJ30" s="61"/>
      <c r="AK30" s="22">
        <f t="shared" si="12"/>
        <v>0</v>
      </c>
      <c r="AL30" s="61"/>
      <c r="AM30" s="58" t="e">
        <f t="shared" si="13"/>
        <v>#DIV/0!</v>
      </c>
      <c r="AN30" s="61"/>
      <c r="AO30" s="58" t="e">
        <f t="shared" si="14"/>
        <v>#DIV/0!</v>
      </c>
      <c r="AP30" s="61">
        <f t="shared" si="15"/>
        <v>0</v>
      </c>
      <c r="AQ30" s="58" t="e">
        <f t="shared" si="16"/>
        <v>#DIV/0!</v>
      </c>
      <c r="AR30" s="63">
        <f t="shared" si="31"/>
        <v>1908</v>
      </c>
      <c r="AS30" s="61"/>
      <c r="AT30" s="58">
        <f t="shared" si="17"/>
        <v>0</v>
      </c>
      <c r="AU30" s="61"/>
      <c r="AV30" s="61"/>
      <c r="AW30" s="22">
        <f t="shared" si="18"/>
        <v>0</v>
      </c>
      <c r="AX30" s="61"/>
      <c r="AY30" s="58" t="e">
        <f t="shared" si="19"/>
        <v>#DIV/0!</v>
      </c>
      <c r="AZ30" s="61"/>
      <c r="BA30" s="58" t="e">
        <f t="shared" si="20"/>
        <v>#DIV/0!</v>
      </c>
      <c r="BB30" s="61">
        <f t="shared" si="21"/>
        <v>0</v>
      </c>
      <c r="BC30" s="58" t="e">
        <f t="shared" si="22"/>
        <v>#DIV/0!</v>
      </c>
      <c r="BD30" s="61"/>
      <c r="BE30" s="61"/>
      <c r="BF30" s="22">
        <f t="shared" si="23"/>
        <v>0</v>
      </c>
      <c r="BG30" s="61"/>
      <c r="BH30" s="58" t="e">
        <f t="shared" si="24"/>
        <v>#DIV/0!</v>
      </c>
      <c r="BI30" s="61"/>
      <c r="BJ30" s="58" t="e">
        <f t="shared" si="25"/>
        <v>#DIV/0!</v>
      </c>
      <c r="BK30" s="61">
        <f t="shared" si="26"/>
        <v>0</v>
      </c>
      <c r="BL30" s="58" t="e">
        <f t="shared" si="27"/>
        <v>#DIV/0!</v>
      </c>
    </row>
    <row r="31" spans="1:64" ht="15.75" customHeight="1" x14ac:dyDescent="0.35">
      <c r="A31" s="5">
        <v>15</v>
      </c>
      <c r="B31" s="6" t="s">
        <v>19</v>
      </c>
      <c r="C31" s="54">
        <v>2</v>
      </c>
      <c r="D31" s="54">
        <v>2</v>
      </c>
      <c r="E31" s="64" t="str">
        <f t="shared" si="32"/>
        <v>Ya</v>
      </c>
      <c r="F31" s="54">
        <v>34</v>
      </c>
      <c r="G31" s="54">
        <v>43</v>
      </c>
      <c r="H31" s="55">
        <f t="shared" si="0"/>
        <v>0.79069767441860461</v>
      </c>
      <c r="I31" s="56">
        <v>422</v>
      </c>
      <c r="J31" s="57">
        <v>94</v>
      </c>
      <c r="K31" s="58">
        <f t="shared" si="1"/>
        <v>22.274881516587676</v>
      </c>
      <c r="L31" s="59">
        <v>55</v>
      </c>
      <c r="M31" s="59">
        <v>55</v>
      </c>
      <c r="N31" s="60">
        <f t="shared" si="2"/>
        <v>100</v>
      </c>
      <c r="O31" s="63">
        <f t="shared" si="28"/>
        <v>55</v>
      </c>
      <c r="P31" s="59">
        <v>0</v>
      </c>
      <c r="Q31" s="58">
        <f t="shared" si="3"/>
        <v>0</v>
      </c>
      <c r="R31" s="61">
        <f t="shared" si="29"/>
        <v>36</v>
      </c>
      <c r="S31" s="59">
        <v>6</v>
      </c>
      <c r="T31" s="58">
        <f t="shared" si="4"/>
        <v>16.666666666666664</v>
      </c>
      <c r="U31" s="63">
        <f t="shared" si="30"/>
        <v>6122</v>
      </c>
      <c r="V31" s="59">
        <v>0</v>
      </c>
      <c r="W31" s="58">
        <f t="shared" si="5"/>
        <v>0</v>
      </c>
      <c r="X31" s="61"/>
      <c r="Y31" s="58">
        <f t="shared" si="6"/>
        <v>0</v>
      </c>
      <c r="Z31" s="61"/>
      <c r="AA31" s="61"/>
      <c r="AB31" s="22">
        <f t="shared" si="7"/>
        <v>0</v>
      </c>
      <c r="AC31" s="61"/>
      <c r="AD31" s="58" t="e">
        <f t="shared" si="8"/>
        <v>#DIV/0!</v>
      </c>
      <c r="AE31" s="61"/>
      <c r="AF31" s="58" t="e">
        <f t="shared" si="9"/>
        <v>#DIV/0!</v>
      </c>
      <c r="AG31" s="61">
        <f t="shared" si="10"/>
        <v>0</v>
      </c>
      <c r="AH31" s="58" t="e">
        <f t="shared" si="11"/>
        <v>#DIV/0!</v>
      </c>
      <c r="AI31" s="61"/>
      <c r="AJ31" s="61"/>
      <c r="AK31" s="22">
        <f t="shared" si="12"/>
        <v>0</v>
      </c>
      <c r="AL31" s="61"/>
      <c r="AM31" s="58" t="e">
        <f t="shared" si="13"/>
        <v>#DIV/0!</v>
      </c>
      <c r="AN31" s="61"/>
      <c r="AO31" s="58" t="e">
        <f t="shared" si="14"/>
        <v>#DIV/0!</v>
      </c>
      <c r="AP31" s="61">
        <f t="shared" si="15"/>
        <v>0</v>
      </c>
      <c r="AQ31" s="58" t="e">
        <f t="shared" si="16"/>
        <v>#DIV/0!</v>
      </c>
      <c r="AR31" s="63">
        <f t="shared" si="31"/>
        <v>1908</v>
      </c>
      <c r="AS31" s="61"/>
      <c r="AT31" s="58">
        <f t="shared" si="17"/>
        <v>0</v>
      </c>
      <c r="AU31" s="61"/>
      <c r="AV31" s="61"/>
      <c r="AW31" s="22">
        <f t="shared" si="18"/>
        <v>0</v>
      </c>
      <c r="AX31" s="61"/>
      <c r="AY31" s="58" t="e">
        <f t="shared" si="19"/>
        <v>#DIV/0!</v>
      </c>
      <c r="AZ31" s="61"/>
      <c r="BA31" s="58" t="e">
        <f t="shared" si="20"/>
        <v>#DIV/0!</v>
      </c>
      <c r="BB31" s="61">
        <f t="shared" si="21"/>
        <v>0</v>
      </c>
      <c r="BC31" s="58" t="e">
        <f t="shared" si="22"/>
        <v>#DIV/0!</v>
      </c>
      <c r="BD31" s="61"/>
      <c r="BE31" s="61"/>
      <c r="BF31" s="22">
        <f t="shared" si="23"/>
        <v>0</v>
      </c>
      <c r="BG31" s="61"/>
      <c r="BH31" s="58" t="e">
        <f t="shared" si="24"/>
        <v>#DIV/0!</v>
      </c>
      <c r="BI31" s="61"/>
      <c r="BJ31" s="58" t="e">
        <f t="shared" si="25"/>
        <v>#DIV/0!</v>
      </c>
      <c r="BK31" s="61">
        <f t="shared" si="26"/>
        <v>0</v>
      </c>
      <c r="BL31" s="58" t="e">
        <f t="shared" si="27"/>
        <v>#DIV/0!</v>
      </c>
    </row>
    <row r="32" spans="1:64" ht="15.75" customHeight="1" x14ac:dyDescent="0.3">
      <c r="A32" s="11">
        <v>16</v>
      </c>
      <c r="B32" s="12" t="s">
        <v>20</v>
      </c>
      <c r="C32" s="65">
        <f t="shared" ref="C32:D32" si="57">MAX(C29:C31)</f>
        <v>2</v>
      </c>
      <c r="D32" s="65">
        <f t="shared" si="57"/>
        <v>2</v>
      </c>
      <c r="E32" s="66" t="str">
        <f t="shared" si="32"/>
        <v>Ya</v>
      </c>
      <c r="F32" s="65">
        <f t="shared" ref="F32:G32" si="58">SUM(F29:F31)</f>
        <v>102</v>
      </c>
      <c r="G32" s="65">
        <f t="shared" si="58"/>
        <v>99</v>
      </c>
      <c r="H32" s="67">
        <f t="shared" si="0"/>
        <v>1.0303030303030303</v>
      </c>
      <c r="I32" s="65">
        <f t="shared" ref="I32:J32" si="59">SUM(I29:I31)</f>
        <v>1302</v>
      </c>
      <c r="J32" s="65">
        <f t="shared" si="59"/>
        <v>282</v>
      </c>
      <c r="K32" s="68">
        <f t="shared" si="1"/>
        <v>21.658986175115206</v>
      </c>
      <c r="L32" s="69">
        <f t="shared" ref="L32:M32" si="60">SUM(L29:L31)</f>
        <v>186</v>
      </c>
      <c r="M32" s="69">
        <f t="shared" si="60"/>
        <v>186</v>
      </c>
      <c r="N32" s="70">
        <f t="shared" si="2"/>
        <v>100</v>
      </c>
      <c r="O32" s="71">
        <f t="shared" si="28"/>
        <v>55</v>
      </c>
      <c r="P32" s="69">
        <f>SUM(P29:P31)</f>
        <v>0</v>
      </c>
      <c r="Q32" s="68">
        <f t="shared" si="3"/>
        <v>0</v>
      </c>
      <c r="R32" s="69">
        <f t="shared" si="29"/>
        <v>36</v>
      </c>
      <c r="S32" s="69">
        <f>SUM(S29:S31)</f>
        <v>6</v>
      </c>
      <c r="T32" s="68">
        <f t="shared" si="4"/>
        <v>16.666666666666664</v>
      </c>
      <c r="U32" s="71">
        <f t="shared" si="30"/>
        <v>6122</v>
      </c>
      <c r="V32" s="69">
        <f>SUM(V29:V31)</f>
        <v>0</v>
      </c>
      <c r="W32" s="68">
        <f t="shared" si="5"/>
        <v>0</v>
      </c>
      <c r="X32" s="69">
        <f>SUM(X29:X31)</f>
        <v>0</v>
      </c>
      <c r="Y32" s="68">
        <f t="shared" si="6"/>
        <v>0</v>
      </c>
      <c r="Z32" s="69">
        <f t="shared" ref="Z32:AA32" si="61">MAX(Z29:Z31)</f>
        <v>0</v>
      </c>
      <c r="AA32" s="69">
        <f t="shared" si="61"/>
        <v>0</v>
      </c>
      <c r="AB32" s="72">
        <f t="shared" si="7"/>
        <v>0</v>
      </c>
      <c r="AC32" s="69">
        <f>SUM(AC29:AC31)</f>
        <v>0</v>
      </c>
      <c r="AD32" s="68" t="e">
        <f t="shared" si="8"/>
        <v>#DIV/0!</v>
      </c>
      <c r="AE32" s="69">
        <f>SUM(AE29:AE31)</f>
        <v>0</v>
      </c>
      <c r="AF32" s="68" t="e">
        <f t="shared" si="9"/>
        <v>#DIV/0!</v>
      </c>
      <c r="AG32" s="69">
        <f t="shared" si="10"/>
        <v>0</v>
      </c>
      <c r="AH32" s="68" t="e">
        <f t="shared" si="11"/>
        <v>#DIV/0!</v>
      </c>
      <c r="AI32" s="69">
        <f t="shared" ref="AI32:AJ32" si="62">SUM(AI29:AI31)</f>
        <v>0</v>
      </c>
      <c r="AJ32" s="69">
        <f t="shared" si="62"/>
        <v>0</v>
      </c>
      <c r="AK32" s="72">
        <f t="shared" si="12"/>
        <v>0</v>
      </c>
      <c r="AL32" s="69">
        <f>SUM(AL29:AL31)</f>
        <v>0</v>
      </c>
      <c r="AM32" s="68" t="e">
        <f t="shared" si="13"/>
        <v>#DIV/0!</v>
      </c>
      <c r="AN32" s="69">
        <f>SUM(AN29:AN31)</f>
        <v>0</v>
      </c>
      <c r="AO32" s="68" t="e">
        <f t="shared" si="14"/>
        <v>#DIV/0!</v>
      </c>
      <c r="AP32" s="69">
        <f t="shared" si="15"/>
        <v>0</v>
      </c>
      <c r="AQ32" s="68" t="e">
        <f t="shared" si="16"/>
        <v>#DIV/0!</v>
      </c>
      <c r="AR32" s="71">
        <f t="shared" si="31"/>
        <v>1908</v>
      </c>
      <c r="AS32" s="69">
        <f>SUM(AS29:AS31)</f>
        <v>0</v>
      </c>
      <c r="AT32" s="68">
        <f t="shared" si="17"/>
        <v>0</v>
      </c>
      <c r="AU32" s="69">
        <f t="shared" ref="AU32:AV32" si="63">MAX(AU29:AU31)</f>
        <v>0</v>
      </c>
      <c r="AV32" s="69">
        <f t="shared" si="63"/>
        <v>0</v>
      </c>
      <c r="AW32" s="72">
        <f t="shared" si="18"/>
        <v>0</v>
      </c>
      <c r="AX32" s="69">
        <f>SUM(AX29:AX31)</f>
        <v>0</v>
      </c>
      <c r="AY32" s="68" t="e">
        <f t="shared" si="19"/>
        <v>#DIV/0!</v>
      </c>
      <c r="AZ32" s="69">
        <f>SUM(AZ29:AZ31)</f>
        <v>0</v>
      </c>
      <c r="BA32" s="68" t="e">
        <f t="shared" si="20"/>
        <v>#DIV/0!</v>
      </c>
      <c r="BB32" s="69">
        <f t="shared" si="21"/>
        <v>0</v>
      </c>
      <c r="BC32" s="68" t="e">
        <f t="shared" si="22"/>
        <v>#DIV/0!</v>
      </c>
      <c r="BD32" s="69">
        <f t="shared" ref="BD32:BE32" si="64">SUM(BD29:BD31)</f>
        <v>0</v>
      </c>
      <c r="BE32" s="69">
        <f t="shared" si="64"/>
        <v>0</v>
      </c>
      <c r="BF32" s="72">
        <f t="shared" si="23"/>
        <v>0</v>
      </c>
      <c r="BG32" s="69">
        <f>SUM(BG29:BG31)</f>
        <v>0</v>
      </c>
      <c r="BH32" s="68" t="e">
        <f t="shared" si="24"/>
        <v>#DIV/0!</v>
      </c>
      <c r="BI32" s="69">
        <f>SUM(BI29:BI31)</f>
        <v>0</v>
      </c>
      <c r="BJ32" s="68" t="e">
        <f t="shared" si="25"/>
        <v>#DIV/0!</v>
      </c>
      <c r="BK32" s="69">
        <f t="shared" si="26"/>
        <v>0</v>
      </c>
      <c r="BL32" s="68" t="e">
        <f t="shared" si="27"/>
        <v>#DIV/0!</v>
      </c>
    </row>
    <row r="33" spans="1:64" ht="15.75" customHeight="1" x14ac:dyDescent="0.3">
      <c r="A33" s="119" t="s">
        <v>22</v>
      </c>
      <c r="B33" s="92"/>
      <c r="C33" s="73">
        <f t="shared" ref="C33:E33" si="65">C17</f>
        <v>1</v>
      </c>
      <c r="D33" s="73">
        <f t="shared" si="65"/>
        <v>2</v>
      </c>
      <c r="E33" s="73" t="str">
        <f t="shared" si="65"/>
        <v>Ya</v>
      </c>
      <c r="F33" s="73">
        <f t="shared" ref="F33:G33" si="66">SUM(F32,F28,F24,F20)</f>
        <v>347</v>
      </c>
      <c r="G33" s="73">
        <f t="shared" si="66"/>
        <v>311</v>
      </c>
      <c r="H33" s="74">
        <f t="shared" si="0"/>
        <v>1.1157556270096463</v>
      </c>
      <c r="I33" s="73">
        <f t="shared" ref="I33:J33" si="67">SUM(I32,I28,I24,I20)</f>
        <v>4263</v>
      </c>
      <c r="J33" s="73">
        <f t="shared" si="67"/>
        <v>920</v>
      </c>
      <c r="K33" s="75">
        <f t="shared" si="1"/>
        <v>21.581046211588085</v>
      </c>
      <c r="L33" s="73">
        <f t="shared" ref="L33:M33" si="68">SUM(L32,L28,L24,L20)</f>
        <v>811</v>
      </c>
      <c r="M33" s="73">
        <f t="shared" si="68"/>
        <v>811</v>
      </c>
      <c r="N33" s="76">
        <f t="shared" si="2"/>
        <v>100</v>
      </c>
      <c r="O33" s="73">
        <f t="shared" si="28"/>
        <v>55</v>
      </c>
      <c r="P33" s="73">
        <f>SUM(P32,P28,P24,P20)</f>
        <v>28</v>
      </c>
      <c r="Q33" s="75">
        <f t="shared" si="3"/>
        <v>50.909090909090907</v>
      </c>
      <c r="R33" s="73">
        <f t="shared" si="29"/>
        <v>36</v>
      </c>
      <c r="S33" s="73">
        <f>SUM(S32,S28,S24,S20)</f>
        <v>11</v>
      </c>
      <c r="T33" s="75">
        <f t="shared" si="4"/>
        <v>30.555555555555557</v>
      </c>
      <c r="U33" s="73">
        <f t="shared" si="30"/>
        <v>6122</v>
      </c>
      <c r="V33" s="73">
        <f>SUM(V32,V28,V24,V20)</f>
        <v>0</v>
      </c>
      <c r="W33" s="75">
        <f t="shared" si="5"/>
        <v>0</v>
      </c>
      <c r="X33" s="73">
        <f>SUM(X32,X28,X24,X20)</f>
        <v>0</v>
      </c>
      <c r="Y33" s="75">
        <f t="shared" si="6"/>
        <v>0</v>
      </c>
      <c r="Z33" s="73">
        <f t="shared" ref="Z33:AB33" si="69">MAX(Z32,Z28,Z24,Z20)</f>
        <v>3100</v>
      </c>
      <c r="AA33" s="73">
        <f t="shared" si="69"/>
        <v>3022</v>
      </c>
      <c r="AB33" s="73">
        <f t="shared" si="69"/>
        <v>6122</v>
      </c>
      <c r="AC33" s="73">
        <f>SUM(AC32,AC28,AC24,AC20)</f>
        <v>0</v>
      </c>
      <c r="AD33" s="75">
        <f t="shared" si="8"/>
        <v>0</v>
      </c>
      <c r="AE33" s="73">
        <f>SUM(AE32,AE28,AE24,AE20)</f>
        <v>0</v>
      </c>
      <c r="AF33" s="75">
        <f t="shared" si="9"/>
        <v>0</v>
      </c>
      <c r="AG33" s="73">
        <f>SUM(AG32,AG28,AG24,AG20)</f>
        <v>0</v>
      </c>
      <c r="AH33" s="75">
        <f t="shared" si="11"/>
        <v>0</v>
      </c>
      <c r="AI33" s="73">
        <f t="shared" ref="AI33:AL33" si="70">SUM(AI32,AI28,AI24,AI20)</f>
        <v>0</v>
      </c>
      <c r="AJ33" s="73">
        <f t="shared" si="70"/>
        <v>0</v>
      </c>
      <c r="AK33" s="73">
        <f t="shared" si="70"/>
        <v>0</v>
      </c>
      <c r="AL33" s="73">
        <f t="shared" si="70"/>
        <v>0</v>
      </c>
      <c r="AM33" s="75" t="e">
        <f t="shared" si="13"/>
        <v>#DIV/0!</v>
      </c>
      <c r="AN33" s="73">
        <f>SUM(AN32,AN28,AN24,AN20)</f>
        <v>0</v>
      </c>
      <c r="AO33" s="75" t="e">
        <f t="shared" si="14"/>
        <v>#DIV/0!</v>
      </c>
      <c r="AP33" s="73">
        <f>SUM(AP32,AP28,AP24,AP20)</f>
        <v>0</v>
      </c>
      <c r="AQ33" s="75" t="e">
        <f t="shared" si="16"/>
        <v>#DIV/0!</v>
      </c>
      <c r="AR33" s="73">
        <f t="shared" si="31"/>
        <v>1908</v>
      </c>
      <c r="AS33" s="73">
        <f>SUM(AS32,AS28,AS24,AS20)</f>
        <v>0</v>
      </c>
      <c r="AT33" s="75">
        <f t="shared" si="17"/>
        <v>0</v>
      </c>
      <c r="AU33" s="73">
        <f t="shared" ref="AU33:AW33" si="71">MAX(AU32,AU28,AU24,AU20)</f>
        <v>993</v>
      </c>
      <c r="AV33" s="73">
        <f t="shared" si="71"/>
        <v>915</v>
      </c>
      <c r="AW33" s="73">
        <f t="shared" si="71"/>
        <v>1908</v>
      </c>
      <c r="AX33" s="73">
        <f>SUM(AX32,AX28,AX24,AX20)</f>
        <v>0</v>
      </c>
      <c r="AY33" s="75">
        <f t="shared" si="19"/>
        <v>0</v>
      </c>
      <c r="AZ33" s="73">
        <f>SUM(AZ32,AZ28,AZ24,AZ20)</f>
        <v>0</v>
      </c>
      <c r="BA33" s="75">
        <f t="shared" si="20"/>
        <v>0</v>
      </c>
      <c r="BB33" s="73">
        <f>SUM(BB32,BB28,BB24,BB20)</f>
        <v>0</v>
      </c>
      <c r="BC33" s="75">
        <f t="shared" si="22"/>
        <v>0</v>
      </c>
      <c r="BD33" s="73">
        <f t="shared" ref="BD33:BG33" si="72">SUM(BD32,BD28,BD24,BD20)</f>
        <v>0</v>
      </c>
      <c r="BE33" s="73">
        <f t="shared" si="72"/>
        <v>0</v>
      </c>
      <c r="BF33" s="73">
        <f t="shared" si="72"/>
        <v>0</v>
      </c>
      <c r="BG33" s="73">
        <f t="shared" si="72"/>
        <v>0</v>
      </c>
      <c r="BH33" s="75" t="e">
        <f t="shared" si="24"/>
        <v>#DIV/0!</v>
      </c>
      <c r="BI33" s="73">
        <f>SUM(BI32,BI28,BI24,BI20)</f>
        <v>0</v>
      </c>
      <c r="BJ33" s="75" t="e">
        <f t="shared" si="25"/>
        <v>#DIV/0!</v>
      </c>
      <c r="BK33" s="73">
        <f>SUM(BK32,BK28,BK24,BK20)</f>
        <v>0</v>
      </c>
      <c r="BL33" s="75" t="e">
        <f t="shared" si="27"/>
        <v>#DIV/0!</v>
      </c>
    </row>
    <row r="34" spans="1:64" ht="15.75" customHeight="1" x14ac:dyDescent="0.25">
      <c r="B34" s="77"/>
      <c r="C34" s="78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4"/>
      <c r="P34" s="14"/>
      <c r="Q34" s="14"/>
      <c r="R34" s="14"/>
      <c r="S34" s="14"/>
      <c r="T34" s="14"/>
      <c r="U34" s="14"/>
      <c r="V34" s="14"/>
      <c r="W34" s="14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ht="15.75" customHeight="1" x14ac:dyDescent="0.25"/>
    <row r="36" spans="1:64" ht="15.75" customHeight="1" x14ac:dyDescent="0.25"/>
    <row r="37" spans="1:64" ht="15.75" customHeight="1" x14ac:dyDescent="0.25"/>
    <row r="38" spans="1:64" ht="15.75" customHeight="1" x14ac:dyDescent="0.25"/>
    <row r="39" spans="1:64" ht="15.75" customHeight="1" x14ac:dyDescent="0.25"/>
    <row r="40" spans="1:64" ht="15.75" customHeight="1" x14ac:dyDescent="0.25"/>
    <row r="41" spans="1:64" ht="15.75" customHeight="1" x14ac:dyDescent="0.25"/>
    <row r="42" spans="1:64" ht="15.75" customHeight="1" x14ac:dyDescent="0.25"/>
    <row r="43" spans="1:64" ht="15.75" customHeight="1" x14ac:dyDescent="0.25"/>
    <row r="44" spans="1:64" ht="15.75" customHeight="1" x14ac:dyDescent="0.25"/>
    <row r="45" spans="1:64" ht="15.75" customHeight="1" x14ac:dyDescent="0.25"/>
    <row r="46" spans="1:64" ht="15.75" customHeight="1" x14ac:dyDescent="0.25"/>
    <row r="47" spans="1:64" ht="15.75" customHeight="1" x14ac:dyDescent="0.25"/>
    <row r="48" spans="1:6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1">
    <mergeCell ref="AU14:AU15"/>
    <mergeCell ref="AV14:AV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U12:U15"/>
    <mergeCell ref="V12:V15"/>
    <mergeCell ref="Y12:Y15"/>
    <mergeCell ref="Z12:AB13"/>
    <mergeCell ref="AC12:AH13"/>
    <mergeCell ref="AI12:AK13"/>
    <mergeCell ref="AL12:AQ13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L5:L8"/>
    <mergeCell ref="M5:M8"/>
    <mergeCell ref="N5:N8"/>
    <mergeCell ref="O5:O8"/>
    <mergeCell ref="P5:P8"/>
    <mergeCell ref="Q5:Q8"/>
    <mergeCell ref="W12:W15"/>
    <mergeCell ref="X12:X15"/>
    <mergeCell ref="R5:R8"/>
    <mergeCell ref="S5:S8"/>
    <mergeCell ref="T5:T8"/>
    <mergeCell ref="U5:U8"/>
    <mergeCell ref="V5:V8"/>
    <mergeCell ref="W5:W8"/>
    <mergeCell ref="X5:X8"/>
    <mergeCell ref="N12:N15"/>
    <mergeCell ref="O12:O15"/>
    <mergeCell ref="P12:P15"/>
    <mergeCell ref="Q12:Q15"/>
    <mergeCell ref="R12:R15"/>
    <mergeCell ref="S12:S15"/>
    <mergeCell ref="T12:T15"/>
    <mergeCell ref="L12:L15"/>
    <mergeCell ref="M12:M15"/>
    <mergeCell ref="A33:B33"/>
    <mergeCell ref="E5:E8"/>
    <mergeCell ref="F5:F8"/>
    <mergeCell ref="G5:G8"/>
    <mergeCell ref="H5:H8"/>
    <mergeCell ref="I5:I8"/>
    <mergeCell ref="J5:J8"/>
    <mergeCell ref="A1:B3"/>
    <mergeCell ref="C1:H4"/>
    <mergeCell ref="I1:I3"/>
    <mergeCell ref="A4:B4"/>
    <mergeCell ref="J4:K4"/>
    <mergeCell ref="A5:A8"/>
    <mergeCell ref="B5:B8"/>
    <mergeCell ref="C5:C8"/>
    <mergeCell ref="D5:D8"/>
    <mergeCell ref="A11:B11"/>
    <mergeCell ref="A12:A15"/>
    <mergeCell ref="B12:B15"/>
    <mergeCell ref="C12:C15"/>
    <mergeCell ref="D12:D15"/>
    <mergeCell ref="K5:K8"/>
    <mergeCell ref="E12:E15"/>
    <mergeCell ref="F12:F15"/>
    <mergeCell ref="G12:G15"/>
    <mergeCell ref="H12:H15"/>
    <mergeCell ref="I12:I15"/>
    <mergeCell ref="J12:J15"/>
    <mergeCell ref="K12:K15"/>
    <mergeCell ref="BF7:BF8"/>
    <mergeCell ref="BG7:BG8"/>
    <mergeCell ref="BH7:BH8"/>
    <mergeCell ref="BI7:BI8"/>
    <mergeCell ref="AR5:AR8"/>
    <mergeCell ref="AS5:AS8"/>
    <mergeCell ref="AL7:AL8"/>
    <mergeCell ref="AM7:AM8"/>
    <mergeCell ref="AN7:AN8"/>
    <mergeCell ref="AO7:AO8"/>
    <mergeCell ref="AP7:AP8"/>
    <mergeCell ref="AQ7:AQ8"/>
    <mergeCell ref="Y5:Y8"/>
    <mergeCell ref="Z5:AB6"/>
    <mergeCell ref="AC5:AH6"/>
    <mergeCell ref="AI5:AK6"/>
    <mergeCell ref="AL5:AQ6"/>
    <mergeCell ref="Z7:Z8"/>
    <mergeCell ref="AA7:AA8"/>
    <mergeCell ref="BJ7:BJ8"/>
    <mergeCell ref="BK7:BK8"/>
    <mergeCell ref="BL7:BL8"/>
    <mergeCell ref="AT5:AT8"/>
    <mergeCell ref="AU5:AW6"/>
    <mergeCell ref="AX5:BC6"/>
    <mergeCell ref="BD5:BF6"/>
    <mergeCell ref="BG5:BL6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E7:BE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BK14:BK15"/>
    <mergeCell ref="BL14:BL15"/>
    <mergeCell ref="AR12:AR15"/>
    <mergeCell ref="AS12:AS15"/>
    <mergeCell ref="AT12:AT15"/>
    <mergeCell ref="AU12:AW13"/>
    <mergeCell ref="AX12:BC13"/>
    <mergeCell ref="BD12:BF13"/>
    <mergeCell ref="BG12:BL13"/>
    <mergeCell ref="AW14:AW15"/>
    <mergeCell ref="AX14:AX15"/>
    <mergeCell ref="AY14:AY15"/>
    <mergeCell ref="AZ14:AZ15"/>
    <mergeCell ref="BA14:BA15"/>
    <mergeCell ref="BB14:BB15"/>
    <mergeCell ref="BC14:BC15"/>
    <mergeCell ref="BD14:BD15"/>
    <mergeCell ref="BE14:BE15"/>
    <mergeCell ref="BF14:BF15"/>
    <mergeCell ref="BG14:BG15"/>
    <mergeCell ref="BH14:BH15"/>
    <mergeCell ref="BI14:BI15"/>
    <mergeCell ref="BJ14:BJ1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 Puskesmas - Rekap KTR</vt:lpstr>
      <vt:lpstr>Per Puskesmas Rekap UBM</vt:lpstr>
      <vt:lpstr>Plyn. Gilut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2025-01-09T06:14:24Z</dcterms:modified>
</cp:coreProperties>
</file>