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TRIBULAN\"/>
    </mc:Choice>
  </mc:AlternateContent>
  <xr:revisionPtr revIDLastSave="0" documentId="13_ncr:1_{36BCD2C8-069D-4BE3-B358-57FE95C93F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b 4" sheetId="1" r:id="rId1"/>
    <sheet name="rekap per program" sheetId="2" r:id="rId2"/>
    <sheet name="rekap per kegiat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MYf33DlFOeInVZK3j6MVEkKZ2HDjKahGS4MnEae/3Wg="/>
    </ext>
  </extLst>
</workbook>
</file>

<file path=xl/calcChain.xml><?xml version="1.0" encoding="utf-8"?>
<calcChain xmlns="http://schemas.openxmlformats.org/spreadsheetml/2006/main">
  <c r="C8" i="3" l="1"/>
  <c r="B3" i="3"/>
  <c r="B7" i="2"/>
  <c r="B6" i="2"/>
  <c r="B5" i="2"/>
  <c r="C4" i="2"/>
  <c r="B4" i="2"/>
  <c r="B3" i="2"/>
  <c r="T447" i="1"/>
  <c r="V447" i="1" s="1"/>
  <c r="S447" i="1"/>
  <c r="T446" i="1"/>
  <c r="V446" i="1" s="1"/>
  <c r="S446" i="1"/>
  <c r="T445" i="1"/>
  <c r="V445" i="1" s="1"/>
  <c r="S445" i="1"/>
  <c r="T444" i="1"/>
  <c r="V444" i="1" s="1"/>
  <c r="S444" i="1"/>
  <c r="T443" i="1"/>
  <c r="V443" i="1" s="1"/>
  <c r="S443" i="1"/>
  <c r="T442" i="1"/>
  <c r="V442" i="1" s="1"/>
  <c r="S442" i="1"/>
  <c r="T441" i="1"/>
  <c r="V441" i="1" s="1"/>
  <c r="S441" i="1"/>
  <c r="T440" i="1"/>
  <c r="V440" i="1" s="1"/>
  <c r="S440" i="1"/>
  <c r="T439" i="1"/>
  <c r="V439" i="1" s="1"/>
  <c r="S439" i="1"/>
  <c r="T438" i="1"/>
  <c r="V438" i="1" s="1"/>
  <c r="S438" i="1"/>
  <c r="T437" i="1"/>
  <c r="V437" i="1" s="1"/>
  <c r="S437" i="1"/>
  <c r="T436" i="1"/>
  <c r="V436" i="1" s="1"/>
  <c r="S436" i="1"/>
  <c r="T435" i="1"/>
  <c r="V435" i="1" s="1"/>
  <c r="S435" i="1"/>
  <c r="T434" i="1"/>
  <c r="V434" i="1" s="1"/>
  <c r="S434" i="1"/>
  <c r="T433" i="1"/>
  <c r="V433" i="1" s="1"/>
  <c r="S433" i="1"/>
  <c r="T432" i="1"/>
  <c r="V432" i="1" s="1"/>
  <c r="S432" i="1"/>
  <c r="V431" i="1"/>
  <c r="T431" i="1"/>
  <c r="S431" i="1"/>
  <c r="AD429" i="1"/>
  <c r="C24" i="3" s="1"/>
  <c r="S428" i="1"/>
  <c r="U428" i="1" s="1"/>
  <c r="N428" i="1"/>
  <c r="S427" i="1"/>
  <c r="U427" i="1" s="1"/>
  <c r="N427" i="1"/>
  <c r="S426" i="1"/>
  <c r="U426" i="1" s="1"/>
  <c r="P426" i="1"/>
  <c r="N426" i="1"/>
  <c r="S425" i="1"/>
  <c r="N425" i="1"/>
  <c r="P425" i="1" s="1"/>
  <c r="T425" i="1" s="1"/>
  <c r="AD424" i="1"/>
  <c r="C23" i="3" s="1"/>
  <c r="S423" i="1"/>
  <c r="N423" i="1"/>
  <c r="U422" i="1"/>
  <c r="S422" i="1"/>
  <c r="N422" i="1"/>
  <c r="AD421" i="1"/>
  <c r="C22" i="3" s="1"/>
  <c r="S420" i="1"/>
  <c r="P420" i="1"/>
  <c r="T420" i="1" s="1"/>
  <c r="AD419" i="1"/>
  <c r="C21" i="3" s="1"/>
  <c r="S418" i="1"/>
  <c r="U418" i="1" s="1"/>
  <c r="N418" i="1"/>
  <c r="S417" i="1"/>
  <c r="N417" i="1"/>
  <c r="U416" i="1"/>
  <c r="S416" i="1"/>
  <c r="N416" i="1"/>
  <c r="S415" i="1"/>
  <c r="U415" i="1" s="1"/>
  <c r="P415" i="1"/>
  <c r="T415" i="1" s="1"/>
  <c r="V415" i="1" s="1"/>
  <c r="S414" i="1"/>
  <c r="U414" i="1" s="1"/>
  <c r="N414" i="1"/>
  <c r="S413" i="1"/>
  <c r="U413" i="1" s="1"/>
  <c r="P413" i="1"/>
  <c r="T413" i="1" s="1"/>
  <c r="AD412" i="1"/>
  <c r="C20" i="3" s="1"/>
  <c r="S411" i="1"/>
  <c r="U411" i="1" s="1"/>
  <c r="P411" i="1"/>
  <c r="T411" i="1" s="1"/>
  <c r="V411" i="1" s="1"/>
  <c r="AE410" i="1"/>
  <c r="D19" i="3" s="1"/>
  <c r="E19" i="3" s="1"/>
  <c r="AD410" i="1"/>
  <c r="C19" i="3" s="1"/>
  <c r="T409" i="1"/>
  <c r="V409" i="1" s="1"/>
  <c r="S409" i="1"/>
  <c r="U409" i="1" s="1"/>
  <c r="N409" i="1"/>
  <c r="P409" i="1" s="1"/>
  <c r="S408" i="1"/>
  <c r="U408" i="1" s="1"/>
  <c r="N408" i="1"/>
  <c r="AD407" i="1"/>
  <c r="C18" i="3" s="1"/>
  <c r="S406" i="1"/>
  <c r="U406" i="1" s="1"/>
  <c r="N406" i="1"/>
  <c r="S405" i="1"/>
  <c r="U405" i="1" s="1"/>
  <c r="N405" i="1"/>
  <c r="M405" i="1"/>
  <c r="K405" i="1"/>
  <c r="AD404" i="1"/>
  <c r="C17" i="3" s="1"/>
  <c r="AE402" i="1"/>
  <c r="D16" i="3" s="1"/>
  <c r="AD402" i="1"/>
  <c r="C16" i="3" s="1"/>
  <c r="U400" i="1"/>
  <c r="U399" i="1"/>
  <c r="U398" i="1"/>
  <c r="AB397" i="1"/>
  <c r="C7" i="2" s="1"/>
  <c r="U397" i="1"/>
  <c r="T393" i="1"/>
  <c r="V393" i="1" s="1"/>
  <c r="S393" i="1"/>
  <c r="U393" i="1" s="1"/>
  <c r="T392" i="1"/>
  <c r="V392" i="1" s="1"/>
  <c r="S392" i="1"/>
  <c r="U392" i="1" s="1"/>
  <c r="U391" i="1"/>
  <c r="T391" i="1"/>
  <c r="V391" i="1" s="1"/>
  <c r="S391" i="1"/>
  <c r="T390" i="1"/>
  <c r="V390" i="1" s="1"/>
  <c r="S390" i="1"/>
  <c r="U390" i="1" s="1"/>
  <c r="T389" i="1"/>
  <c r="V389" i="1" s="1"/>
  <c r="S389" i="1"/>
  <c r="U389" i="1" s="1"/>
  <c r="T388" i="1"/>
  <c r="V388" i="1" s="1"/>
  <c r="S388" i="1"/>
  <c r="U388" i="1" s="1"/>
  <c r="U387" i="1"/>
  <c r="T387" i="1"/>
  <c r="V387" i="1" s="1"/>
  <c r="S387" i="1"/>
  <c r="T386" i="1"/>
  <c r="V386" i="1" s="1"/>
  <c r="S386" i="1"/>
  <c r="U386" i="1" s="1"/>
  <c r="T385" i="1"/>
  <c r="V385" i="1" s="1"/>
  <c r="S385" i="1"/>
  <c r="U385" i="1" s="1"/>
  <c r="T384" i="1"/>
  <c r="V384" i="1" s="1"/>
  <c r="S384" i="1"/>
  <c r="U384" i="1" s="1"/>
  <c r="T383" i="1"/>
  <c r="V383" i="1" s="1"/>
  <c r="S383" i="1"/>
  <c r="U383" i="1" s="1"/>
  <c r="U382" i="1"/>
  <c r="T382" i="1"/>
  <c r="V382" i="1" s="1"/>
  <c r="S382" i="1"/>
  <c r="T381" i="1"/>
  <c r="V381" i="1" s="1"/>
  <c r="S381" i="1"/>
  <c r="U381" i="1" s="1"/>
  <c r="T380" i="1"/>
  <c r="V380" i="1" s="1"/>
  <c r="S380" i="1"/>
  <c r="U380" i="1" s="1"/>
  <c r="T379" i="1"/>
  <c r="V379" i="1" s="1"/>
  <c r="S379" i="1"/>
  <c r="U379" i="1" s="1"/>
  <c r="T378" i="1"/>
  <c r="V378" i="1" s="1"/>
  <c r="S378" i="1"/>
  <c r="U378" i="1" s="1"/>
  <c r="S377" i="1"/>
  <c r="U377" i="1" s="1"/>
  <c r="N377" i="1"/>
  <c r="P377" i="1" s="1"/>
  <c r="AD376" i="1"/>
  <c r="C15" i="3" s="1"/>
  <c r="U375" i="1"/>
  <c r="N375" i="1"/>
  <c r="M375" i="1"/>
  <c r="S375" i="1" s="1"/>
  <c r="S374" i="1"/>
  <c r="N374" i="1"/>
  <c r="P374" i="1" s="1"/>
  <c r="AD373" i="1"/>
  <c r="C14" i="3" s="1"/>
  <c r="S372" i="1"/>
  <c r="U372" i="1" s="1"/>
  <c r="N372" i="1"/>
  <c r="AD371" i="1"/>
  <c r="C13" i="3" s="1"/>
  <c r="AB370" i="1"/>
  <c r="C6" i="2" s="1"/>
  <c r="U370" i="1"/>
  <c r="S367" i="1"/>
  <c r="U367" i="1" s="1"/>
  <c r="P367" i="1"/>
  <c r="T367" i="1" s="1"/>
  <c r="AD366" i="1"/>
  <c r="C12" i="3" s="1"/>
  <c r="V365" i="1"/>
  <c r="U365" i="1"/>
  <c r="S365" i="1"/>
  <c r="P365" i="1"/>
  <c r="T365" i="1" s="1"/>
  <c r="AE364" i="1" s="1"/>
  <c r="D11" i="3" s="1"/>
  <c r="E11" i="3" s="1"/>
  <c r="AD364" i="1"/>
  <c r="C11" i="3" s="1"/>
  <c r="S363" i="1"/>
  <c r="U363" i="1" s="1"/>
  <c r="P363" i="1"/>
  <c r="T363" i="1" s="1"/>
  <c r="AD362" i="1"/>
  <c r="C10" i="3" s="1"/>
  <c r="AB361" i="1"/>
  <c r="C5" i="2" s="1"/>
  <c r="U361" i="1"/>
  <c r="S358" i="1"/>
  <c r="U358" i="1" s="1"/>
  <c r="P358" i="1"/>
  <c r="T358" i="1" s="1"/>
  <c r="AD357" i="1"/>
  <c r="C9" i="3" s="1"/>
  <c r="S356" i="1"/>
  <c r="U356" i="1" s="1"/>
  <c r="P356" i="1"/>
  <c r="T356" i="1" s="1"/>
  <c r="V356" i="1" s="1"/>
  <c r="T355" i="1"/>
  <c r="S355" i="1"/>
  <c r="U355" i="1" s="1"/>
  <c r="AD354" i="1"/>
  <c r="T353" i="1"/>
  <c r="AE352" i="1" s="1"/>
  <c r="D7" i="3" s="1"/>
  <c r="E7" i="3" s="1"/>
  <c r="S353" i="1"/>
  <c r="U353" i="1" s="1"/>
  <c r="P353" i="1"/>
  <c r="N353" i="1"/>
  <c r="AD352" i="1"/>
  <c r="C7" i="3" s="1"/>
  <c r="AB351" i="1"/>
  <c r="U351" i="1"/>
  <c r="U348" i="1"/>
  <c r="S348" i="1"/>
  <c r="N348" i="1"/>
  <c r="P348" i="1" s="1"/>
  <c r="AD345" i="1"/>
  <c r="C6" i="3" s="1"/>
  <c r="T344" i="1"/>
  <c r="V344" i="1" s="1"/>
  <c r="S344" i="1"/>
  <c r="U344" i="1" s="1"/>
  <c r="T343" i="1"/>
  <c r="V343" i="1" s="1"/>
  <c r="S343" i="1"/>
  <c r="U343" i="1" s="1"/>
  <c r="V342" i="1"/>
  <c r="T342" i="1"/>
  <c r="S342" i="1"/>
  <c r="U342" i="1" s="1"/>
  <c r="T341" i="1"/>
  <c r="V341" i="1" s="1"/>
  <c r="S341" i="1"/>
  <c r="U341" i="1" s="1"/>
  <c r="V340" i="1"/>
  <c r="T340" i="1"/>
  <c r="S340" i="1"/>
  <c r="U340" i="1" s="1"/>
  <c r="V339" i="1"/>
  <c r="T339" i="1"/>
  <c r="S339" i="1"/>
  <c r="U339" i="1" s="1"/>
  <c r="T338" i="1"/>
  <c r="V338" i="1" s="1"/>
  <c r="S338" i="1"/>
  <c r="U338" i="1" s="1"/>
  <c r="T337" i="1"/>
  <c r="V337" i="1" s="1"/>
  <c r="S337" i="1"/>
  <c r="U337" i="1" s="1"/>
  <c r="T336" i="1"/>
  <c r="V336" i="1" s="1"/>
  <c r="S336" i="1"/>
  <c r="U336" i="1" s="1"/>
  <c r="T335" i="1"/>
  <c r="V335" i="1" s="1"/>
  <c r="S335" i="1"/>
  <c r="U335" i="1" s="1"/>
  <c r="V334" i="1"/>
  <c r="T334" i="1"/>
  <c r="S334" i="1"/>
  <c r="U334" i="1" s="1"/>
  <c r="T333" i="1"/>
  <c r="V333" i="1" s="1"/>
  <c r="S333" i="1"/>
  <c r="U333" i="1" s="1"/>
  <c r="V332" i="1"/>
  <c r="T332" i="1"/>
  <c r="S332" i="1"/>
  <c r="U332" i="1" s="1"/>
  <c r="V331" i="1"/>
  <c r="T331" i="1"/>
  <c r="S331" i="1"/>
  <c r="U331" i="1" s="1"/>
  <c r="T330" i="1"/>
  <c r="V330" i="1" s="1"/>
  <c r="S330" i="1"/>
  <c r="U330" i="1" s="1"/>
  <c r="T329" i="1"/>
  <c r="V329" i="1" s="1"/>
  <c r="S329" i="1"/>
  <c r="U329" i="1" s="1"/>
  <c r="AD328" i="1"/>
  <c r="C5" i="3" s="1"/>
  <c r="T327" i="1"/>
  <c r="V327" i="1" s="1"/>
  <c r="S327" i="1"/>
  <c r="U327" i="1" s="1"/>
  <c r="T326" i="1"/>
  <c r="V326" i="1" s="1"/>
  <c r="S326" i="1"/>
  <c r="U326" i="1" s="1"/>
  <c r="T325" i="1"/>
  <c r="V325" i="1" s="1"/>
  <c r="S325" i="1"/>
  <c r="U325" i="1" s="1"/>
  <c r="U324" i="1"/>
  <c r="T324" i="1"/>
  <c r="V324" i="1" s="1"/>
  <c r="S324" i="1"/>
  <c r="U323" i="1"/>
  <c r="T323" i="1"/>
  <c r="V323" i="1" s="1"/>
  <c r="S323" i="1"/>
  <c r="T322" i="1"/>
  <c r="V322" i="1" s="1"/>
  <c r="S322" i="1"/>
  <c r="U322" i="1" s="1"/>
  <c r="U321" i="1"/>
  <c r="T321" i="1"/>
  <c r="V321" i="1" s="1"/>
  <c r="S321" i="1"/>
  <c r="T320" i="1"/>
  <c r="V320" i="1" s="1"/>
  <c r="S320" i="1"/>
  <c r="U320" i="1" s="1"/>
  <c r="T319" i="1"/>
  <c r="V319" i="1" s="1"/>
  <c r="S319" i="1"/>
  <c r="U319" i="1" s="1"/>
  <c r="T318" i="1"/>
  <c r="V318" i="1" s="1"/>
  <c r="S318" i="1"/>
  <c r="U318" i="1" s="1"/>
  <c r="T317" i="1"/>
  <c r="V317" i="1" s="1"/>
  <c r="S317" i="1"/>
  <c r="U317" i="1" s="1"/>
  <c r="U316" i="1"/>
  <c r="T316" i="1"/>
  <c r="V316" i="1" s="1"/>
  <c r="S316" i="1"/>
  <c r="U315" i="1"/>
  <c r="T315" i="1"/>
  <c r="V315" i="1" s="1"/>
  <c r="S315" i="1"/>
  <c r="T314" i="1"/>
  <c r="V314" i="1" s="1"/>
  <c r="S314" i="1"/>
  <c r="U314" i="1" s="1"/>
  <c r="U313" i="1"/>
  <c r="T313" i="1"/>
  <c r="V313" i="1" s="1"/>
  <c r="S313" i="1"/>
  <c r="T312" i="1"/>
  <c r="V312" i="1" s="1"/>
  <c r="S312" i="1"/>
  <c r="U312" i="1" s="1"/>
  <c r="T311" i="1"/>
  <c r="V311" i="1" s="1"/>
  <c r="S311" i="1"/>
  <c r="T310" i="1"/>
  <c r="V310" i="1" s="1"/>
  <c r="S310" i="1"/>
  <c r="U310" i="1" s="1"/>
  <c r="T309" i="1"/>
  <c r="V309" i="1" s="1"/>
  <c r="S309" i="1"/>
  <c r="U309" i="1" s="1"/>
  <c r="T308" i="1"/>
  <c r="V308" i="1" s="1"/>
  <c r="S308" i="1"/>
  <c r="U308" i="1" s="1"/>
  <c r="T307" i="1"/>
  <c r="V307" i="1" s="1"/>
  <c r="S307" i="1"/>
  <c r="U307" i="1" s="1"/>
  <c r="T306" i="1"/>
  <c r="V306" i="1" s="1"/>
  <c r="S306" i="1"/>
  <c r="U306" i="1" s="1"/>
  <c r="T305" i="1"/>
  <c r="V305" i="1" s="1"/>
  <c r="S305" i="1"/>
  <c r="U305" i="1" s="1"/>
  <c r="T304" i="1"/>
  <c r="V304" i="1" s="1"/>
  <c r="S304" i="1"/>
  <c r="U304" i="1" s="1"/>
  <c r="T303" i="1"/>
  <c r="V303" i="1" s="1"/>
  <c r="S303" i="1"/>
  <c r="U303" i="1" s="1"/>
  <c r="T302" i="1"/>
  <c r="V302" i="1" s="1"/>
  <c r="S302" i="1"/>
  <c r="U302" i="1" s="1"/>
  <c r="T301" i="1"/>
  <c r="V301" i="1" s="1"/>
  <c r="S301" i="1"/>
  <c r="U301" i="1" s="1"/>
  <c r="T300" i="1"/>
  <c r="V300" i="1" s="1"/>
  <c r="S300" i="1"/>
  <c r="U300" i="1" s="1"/>
  <c r="T299" i="1"/>
  <c r="V299" i="1" s="1"/>
  <c r="S299" i="1"/>
  <c r="U299" i="1" s="1"/>
  <c r="T298" i="1"/>
  <c r="V298" i="1" s="1"/>
  <c r="S298" i="1"/>
  <c r="U298" i="1" s="1"/>
  <c r="T297" i="1"/>
  <c r="V297" i="1" s="1"/>
  <c r="S297" i="1"/>
  <c r="U297" i="1" s="1"/>
  <c r="T296" i="1"/>
  <c r="V296" i="1" s="1"/>
  <c r="S296" i="1"/>
  <c r="U296" i="1" s="1"/>
  <c r="S295" i="1"/>
  <c r="U295" i="1" s="1"/>
  <c r="P295" i="1"/>
  <c r="T295" i="1" s="1"/>
  <c r="V295" i="1" s="1"/>
  <c r="T294" i="1"/>
  <c r="V294" i="1" s="1"/>
  <c r="S294" i="1"/>
  <c r="T293" i="1"/>
  <c r="V293" i="1" s="1"/>
  <c r="S293" i="1"/>
  <c r="U293" i="1" s="1"/>
  <c r="T292" i="1"/>
  <c r="V292" i="1" s="1"/>
  <c r="S292" i="1"/>
  <c r="T291" i="1"/>
  <c r="V291" i="1" s="1"/>
  <c r="S291" i="1"/>
  <c r="T290" i="1"/>
  <c r="V290" i="1" s="1"/>
  <c r="S290" i="1"/>
  <c r="T289" i="1"/>
  <c r="V289" i="1" s="1"/>
  <c r="S289" i="1"/>
  <c r="T288" i="1"/>
  <c r="V288" i="1" s="1"/>
  <c r="S288" i="1"/>
  <c r="V287" i="1"/>
  <c r="T287" i="1"/>
  <c r="S287" i="1"/>
  <c r="U287" i="1" s="1"/>
  <c r="V286" i="1"/>
  <c r="T286" i="1"/>
  <c r="S286" i="1"/>
  <c r="U286" i="1" s="1"/>
  <c r="T285" i="1"/>
  <c r="V285" i="1" s="1"/>
  <c r="S285" i="1"/>
  <c r="U285" i="1" s="1"/>
  <c r="T284" i="1"/>
  <c r="V284" i="1" s="1"/>
  <c r="S284" i="1"/>
  <c r="U284" i="1" s="1"/>
  <c r="T283" i="1"/>
  <c r="V283" i="1" s="1"/>
  <c r="S283" i="1"/>
  <c r="U283" i="1" s="1"/>
  <c r="T282" i="1"/>
  <c r="V282" i="1" s="1"/>
  <c r="S282" i="1"/>
  <c r="U282" i="1" s="1"/>
  <c r="V281" i="1"/>
  <c r="T281" i="1"/>
  <c r="S281" i="1"/>
  <c r="U281" i="1" s="1"/>
  <c r="T280" i="1"/>
  <c r="V280" i="1" s="1"/>
  <c r="S280" i="1"/>
  <c r="U280" i="1" s="1"/>
  <c r="V279" i="1"/>
  <c r="T279" i="1"/>
  <c r="S279" i="1"/>
  <c r="U279" i="1" s="1"/>
  <c r="V278" i="1"/>
  <c r="T278" i="1"/>
  <c r="S278" i="1"/>
  <c r="U278" i="1" s="1"/>
  <c r="T277" i="1"/>
  <c r="V277" i="1" s="1"/>
  <c r="S277" i="1"/>
  <c r="U277" i="1" s="1"/>
  <c r="T276" i="1"/>
  <c r="V276" i="1" s="1"/>
  <c r="S276" i="1"/>
  <c r="U276" i="1" s="1"/>
  <c r="T275" i="1"/>
  <c r="V275" i="1" s="1"/>
  <c r="S275" i="1"/>
  <c r="U275" i="1" s="1"/>
  <c r="T274" i="1"/>
  <c r="V274" i="1" s="1"/>
  <c r="S274" i="1"/>
  <c r="U274" i="1" s="1"/>
  <c r="V273" i="1"/>
  <c r="T273" i="1"/>
  <c r="S273" i="1"/>
  <c r="U273" i="1" s="1"/>
  <c r="T272" i="1"/>
  <c r="V272" i="1" s="1"/>
  <c r="S272" i="1"/>
  <c r="V271" i="1"/>
  <c r="T271" i="1"/>
  <c r="S271" i="1"/>
  <c r="U271" i="1" s="1"/>
  <c r="T270" i="1"/>
  <c r="V270" i="1" s="1"/>
  <c r="S270" i="1"/>
  <c r="U270" i="1" s="1"/>
  <c r="V269" i="1"/>
  <c r="S269" i="1"/>
  <c r="U269" i="1" s="1"/>
  <c r="P269" i="1"/>
  <c r="T269" i="1" s="1"/>
  <c r="U268" i="1"/>
  <c r="N268" i="1"/>
  <c r="S267" i="1"/>
  <c r="U267" i="1" s="1"/>
  <c r="N267" i="1"/>
  <c r="P267" i="1" s="1"/>
  <c r="U266" i="1"/>
  <c r="T266" i="1"/>
  <c r="V266" i="1" s="1"/>
  <c r="S266" i="1"/>
  <c r="T265" i="1"/>
  <c r="V265" i="1" s="1"/>
  <c r="S265" i="1"/>
  <c r="U265" i="1" s="1"/>
  <c r="U264" i="1"/>
  <c r="T264" i="1"/>
  <c r="V264" i="1" s="1"/>
  <c r="S264" i="1"/>
  <c r="T263" i="1"/>
  <c r="V263" i="1" s="1"/>
  <c r="S263" i="1"/>
  <c r="U263" i="1" s="1"/>
  <c r="U262" i="1"/>
  <c r="T262" i="1"/>
  <c r="V262" i="1" s="1"/>
  <c r="S262" i="1"/>
  <c r="T261" i="1"/>
  <c r="V261" i="1" s="1"/>
  <c r="S261" i="1"/>
  <c r="U261" i="1" s="1"/>
  <c r="U260" i="1"/>
  <c r="T260" i="1"/>
  <c r="V260" i="1" s="1"/>
  <c r="S260" i="1"/>
  <c r="T259" i="1"/>
  <c r="V259" i="1" s="1"/>
  <c r="S259" i="1"/>
  <c r="U259" i="1" s="1"/>
  <c r="U258" i="1"/>
  <c r="T258" i="1"/>
  <c r="V258" i="1" s="1"/>
  <c r="S258" i="1"/>
  <c r="T257" i="1"/>
  <c r="V257" i="1" s="1"/>
  <c r="S257" i="1"/>
  <c r="U257" i="1" s="1"/>
  <c r="U256" i="1"/>
  <c r="T256" i="1"/>
  <c r="V256" i="1" s="1"/>
  <c r="S256" i="1"/>
  <c r="T255" i="1"/>
  <c r="V255" i="1" s="1"/>
  <c r="S255" i="1"/>
  <c r="U255" i="1" s="1"/>
  <c r="U254" i="1"/>
  <c r="T254" i="1"/>
  <c r="V254" i="1" s="1"/>
  <c r="S254" i="1"/>
  <c r="T253" i="1"/>
  <c r="V253" i="1" s="1"/>
  <c r="S253" i="1"/>
  <c r="U253" i="1" s="1"/>
  <c r="U252" i="1"/>
  <c r="T252" i="1"/>
  <c r="V252" i="1" s="1"/>
  <c r="S252" i="1"/>
  <c r="T251" i="1"/>
  <c r="V251" i="1" s="1"/>
  <c r="S251" i="1"/>
  <c r="U251" i="1" s="1"/>
  <c r="U250" i="1"/>
  <c r="T250" i="1"/>
  <c r="V250" i="1" s="1"/>
  <c r="S250" i="1"/>
  <c r="T249" i="1"/>
  <c r="V249" i="1" s="1"/>
  <c r="S249" i="1"/>
  <c r="U249" i="1" s="1"/>
  <c r="U248" i="1"/>
  <c r="T248" i="1"/>
  <c r="V248" i="1" s="1"/>
  <c r="S248" i="1"/>
  <c r="T247" i="1"/>
  <c r="V247" i="1" s="1"/>
  <c r="S247" i="1"/>
  <c r="U247" i="1" s="1"/>
  <c r="U246" i="1"/>
  <c r="T246" i="1"/>
  <c r="V246" i="1" s="1"/>
  <c r="S246" i="1"/>
  <c r="T245" i="1"/>
  <c r="V245" i="1" s="1"/>
  <c r="S245" i="1"/>
  <c r="U245" i="1" s="1"/>
  <c r="U244" i="1"/>
  <c r="T244" i="1"/>
  <c r="V244" i="1" s="1"/>
  <c r="S244" i="1"/>
  <c r="T243" i="1"/>
  <c r="V243" i="1" s="1"/>
  <c r="S243" i="1"/>
  <c r="U243" i="1" s="1"/>
  <c r="U242" i="1"/>
  <c r="T242" i="1"/>
  <c r="V242" i="1" s="1"/>
  <c r="S242" i="1"/>
  <c r="T241" i="1"/>
  <c r="V241" i="1" s="1"/>
  <c r="S241" i="1"/>
  <c r="U241" i="1" s="1"/>
  <c r="U240" i="1"/>
  <c r="T240" i="1"/>
  <c r="V240" i="1" s="1"/>
  <c r="S240" i="1"/>
  <c r="T239" i="1"/>
  <c r="V239" i="1" s="1"/>
  <c r="S239" i="1"/>
  <c r="U239" i="1" s="1"/>
  <c r="U238" i="1"/>
  <c r="T238" i="1"/>
  <c r="V238" i="1" s="1"/>
  <c r="S238" i="1"/>
  <c r="S237" i="1"/>
  <c r="U237" i="1" s="1"/>
  <c r="N237" i="1"/>
  <c r="T236" i="1"/>
  <c r="V236" i="1" s="1"/>
  <c r="S236" i="1"/>
  <c r="U236" i="1" s="1"/>
  <c r="T235" i="1"/>
  <c r="V235" i="1" s="1"/>
  <c r="S235" i="1"/>
  <c r="U235" i="1" s="1"/>
  <c r="T234" i="1"/>
  <c r="V234" i="1" s="1"/>
  <c r="S234" i="1"/>
  <c r="U234" i="1" s="1"/>
  <c r="T233" i="1"/>
  <c r="V233" i="1" s="1"/>
  <c r="S233" i="1"/>
  <c r="U233" i="1" s="1"/>
  <c r="T232" i="1"/>
  <c r="V232" i="1" s="1"/>
  <c r="S232" i="1"/>
  <c r="U232" i="1" s="1"/>
  <c r="T231" i="1"/>
  <c r="V231" i="1" s="1"/>
  <c r="S231" i="1"/>
  <c r="U231" i="1" s="1"/>
  <c r="T230" i="1"/>
  <c r="V230" i="1" s="1"/>
  <c r="S230" i="1"/>
  <c r="U230" i="1" s="1"/>
  <c r="U229" i="1"/>
  <c r="T229" i="1"/>
  <c r="V229" i="1" s="1"/>
  <c r="S229" i="1"/>
  <c r="T228" i="1"/>
  <c r="V228" i="1" s="1"/>
  <c r="S228" i="1"/>
  <c r="U228" i="1" s="1"/>
  <c r="T227" i="1"/>
  <c r="V227" i="1" s="1"/>
  <c r="S227" i="1"/>
  <c r="U227" i="1" s="1"/>
  <c r="T226" i="1"/>
  <c r="V226" i="1" s="1"/>
  <c r="S226" i="1"/>
  <c r="U226" i="1" s="1"/>
  <c r="U225" i="1"/>
  <c r="T225" i="1"/>
  <c r="V225" i="1" s="1"/>
  <c r="S225" i="1"/>
  <c r="T224" i="1"/>
  <c r="V224" i="1" s="1"/>
  <c r="S224" i="1"/>
  <c r="U224" i="1" s="1"/>
  <c r="T223" i="1"/>
  <c r="V223" i="1" s="1"/>
  <c r="S223" i="1"/>
  <c r="U223" i="1" s="1"/>
  <c r="T222" i="1"/>
  <c r="V222" i="1" s="1"/>
  <c r="S222" i="1"/>
  <c r="U222" i="1" s="1"/>
  <c r="T221" i="1"/>
  <c r="V221" i="1" s="1"/>
  <c r="S221" i="1"/>
  <c r="U221" i="1" s="1"/>
  <c r="U220" i="1"/>
  <c r="T220" i="1"/>
  <c r="V220" i="1" s="1"/>
  <c r="S220" i="1"/>
  <c r="T219" i="1"/>
  <c r="V219" i="1" s="1"/>
  <c r="S219" i="1"/>
  <c r="U219" i="1" s="1"/>
  <c r="S218" i="1"/>
  <c r="U218" i="1" s="1"/>
  <c r="P218" i="1"/>
  <c r="T218" i="1" s="1"/>
  <c r="V218" i="1" s="1"/>
  <c r="S217" i="1"/>
  <c r="U217" i="1" s="1"/>
  <c r="N217" i="1"/>
  <c r="P217" i="1" s="1"/>
  <c r="T217" i="1" s="1"/>
  <c r="V217" i="1" s="1"/>
  <c r="S216" i="1"/>
  <c r="U216" i="1" s="1"/>
  <c r="N216" i="1"/>
  <c r="U215" i="1"/>
  <c r="T215" i="1"/>
  <c r="V215" i="1" s="1"/>
  <c r="S215" i="1"/>
  <c r="V214" i="1"/>
  <c r="T214" i="1"/>
  <c r="S214" i="1"/>
  <c r="U214" i="1" s="1"/>
  <c r="U213" i="1"/>
  <c r="T213" i="1"/>
  <c r="V213" i="1" s="1"/>
  <c r="S213" i="1"/>
  <c r="V212" i="1"/>
  <c r="T212" i="1"/>
  <c r="S212" i="1"/>
  <c r="U212" i="1" s="1"/>
  <c r="U211" i="1"/>
  <c r="T211" i="1"/>
  <c r="V211" i="1" s="1"/>
  <c r="S211" i="1"/>
  <c r="V210" i="1"/>
  <c r="T210" i="1"/>
  <c r="S210" i="1"/>
  <c r="U210" i="1" s="1"/>
  <c r="U209" i="1"/>
  <c r="T209" i="1"/>
  <c r="V209" i="1" s="1"/>
  <c r="S209" i="1"/>
  <c r="V208" i="1"/>
  <c r="T208" i="1"/>
  <c r="S208" i="1"/>
  <c r="U208" i="1" s="1"/>
  <c r="U207" i="1"/>
  <c r="T207" i="1"/>
  <c r="V207" i="1" s="1"/>
  <c r="S207" i="1"/>
  <c r="V206" i="1"/>
  <c r="T206" i="1"/>
  <c r="S206" i="1"/>
  <c r="U206" i="1" s="1"/>
  <c r="U205" i="1"/>
  <c r="T205" i="1"/>
  <c r="V205" i="1" s="1"/>
  <c r="S205" i="1"/>
  <c r="V204" i="1"/>
  <c r="T204" i="1"/>
  <c r="S204" i="1"/>
  <c r="U204" i="1" s="1"/>
  <c r="U203" i="1"/>
  <c r="T203" i="1"/>
  <c r="V203" i="1" s="1"/>
  <c r="S203" i="1"/>
  <c r="V202" i="1"/>
  <c r="T202" i="1"/>
  <c r="S202" i="1"/>
  <c r="U202" i="1" s="1"/>
  <c r="U201" i="1"/>
  <c r="T201" i="1"/>
  <c r="V201" i="1" s="1"/>
  <c r="S201" i="1"/>
  <c r="V200" i="1"/>
  <c r="T200" i="1"/>
  <c r="S200" i="1"/>
  <c r="U200" i="1" s="1"/>
  <c r="S199" i="1"/>
  <c r="U199" i="1" s="1"/>
  <c r="N199" i="1"/>
  <c r="P199" i="1" s="1"/>
  <c r="T199" i="1" s="1"/>
  <c r="V199" i="1" s="1"/>
  <c r="U198" i="1"/>
  <c r="S198" i="1"/>
  <c r="N198" i="1"/>
  <c r="P198" i="1" s="1"/>
  <c r="T198" i="1" s="1"/>
  <c r="V198" i="1" s="1"/>
  <c r="S197" i="1"/>
  <c r="P197" i="1"/>
  <c r="T197" i="1" s="1"/>
  <c r="V197" i="1" s="1"/>
  <c r="T196" i="1"/>
  <c r="V196" i="1" s="1"/>
  <c r="S196" i="1"/>
  <c r="U196" i="1" s="1"/>
  <c r="V195" i="1"/>
  <c r="T195" i="1"/>
  <c r="S195" i="1"/>
  <c r="U195" i="1" s="1"/>
  <c r="T194" i="1"/>
  <c r="V194" i="1" s="1"/>
  <c r="S194" i="1"/>
  <c r="U194" i="1" s="1"/>
  <c r="T193" i="1"/>
  <c r="V193" i="1" s="1"/>
  <c r="S193" i="1"/>
  <c r="U193" i="1" s="1"/>
  <c r="T192" i="1"/>
  <c r="V192" i="1" s="1"/>
  <c r="S192" i="1"/>
  <c r="U192" i="1" s="1"/>
  <c r="T191" i="1"/>
  <c r="V191" i="1" s="1"/>
  <c r="S191" i="1"/>
  <c r="U191" i="1" s="1"/>
  <c r="T190" i="1"/>
  <c r="V190" i="1" s="1"/>
  <c r="S190" i="1"/>
  <c r="U190" i="1" s="1"/>
  <c r="V189" i="1"/>
  <c r="T189" i="1"/>
  <c r="S189" i="1"/>
  <c r="U189" i="1" s="1"/>
  <c r="T188" i="1"/>
  <c r="V188" i="1" s="1"/>
  <c r="S188" i="1"/>
  <c r="U188" i="1" s="1"/>
  <c r="V187" i="1"/>
  <c r="T187" i="1"/>
  <c r="S187" i="1"/>
  <c r="U187" i="1" s="1"/>
  <c r="V186" i="1"/>
  <c r="T186" i="1"/>
  <c r="S186" i="1"/>
  <c r="U186" i="1" s="1"/>
  <c r="T185" i="1"/>
  <c r="V185" i="1" s="1"/>
  <c r="S185" i="1"/>
  <c r="U185" i="1" s="1"/>
  <c r="T184" i="1"/>
  <c r="V184" i="1" s="1"/>
  <c r="S184" i="1"/>
  <c r="U184" i="1" s="1"/>
  <c r="T183" i="1"/>
  <c r="V183" i="1" s="1"/>
  <c r="S183" i="1"/>
  <c r="U183" i="1" s="1"/>
  <c r="T182" i="1"/>
  <c r="V182" i="1" s="1"/>
  <c r="S182" i="1"/>
  <c r="U182" i="1" s="1"/>
  <c r="V181" i="1"/>
  <c r="T181" i="1"/>
  <c r="S181" i="1"/>
  <c r="U181" i="1" s="1"/>
  <c r="S180" i="1"/>
  <c r="U180" i="1" s="1"/>
  <c r="P180" i="1"/>
  <c r="T180" i="1" s="1"/>
  <c r="V180" i="1" s="1"/>
  <c r="S179" i="1"/>
  <c r="U179" i="1" s="1"/>
  <c r="N179" i="1"/>
  <c r="P179" i="1" s="1"/>
  <c r="T179" i="1" s="1"/>
  <c r="V179" i="1" s="1"/>
  <c r="S178" i="1"/>
  <c r="P178" i="1"/>
  <c r="T178" i="1" s="1"/>
  <c r="V178" i="1" s="1"/>
  <c r="T177" i="1"/>
  <c r="V177" i="1" s="1"/>
  <c r="S177" i="1"/>
  <c r="U177" i="1" s="1"/>
  <c r="V176" i="1"/>
  <c r="T176" i="1"/>
  <c r="S176" i="1"/>
  <c r="U176" i="1" s="1"/>
  <c r="T175" i="1"/>
  <c r="V175" i="1" s="1"/>
  <c r="S175" i="1"/>
  <c r="U175" i="1" s="1"/>
  <c r="V174" i="1"/>
  <c r="T174" i="1"/>
  <c r="S174" i="1"/>
  <c r="U174" i="1" s="1"/>
  <c r="T173" i="1"/>
  <c r="V173" i="1" s="1"/>
  <c r="S173" i="1"/>
  <c r="U173" i="1" s="1"/>
  <c r="V172" i="1"/>
  <c r="T172" i="1"/>
  <c r="S172" i="1"/>
  <c r="U172" i="1" s="1"/>
  <c r="T171" i="1"/>
  <c r="V171" i="1" s="1"/>
  <c r="S171" i="1"/>
  <c r="U171" i="1" s="1"/>
  <c r="V170" i="1"/>
  <c r="T170" i="1"/>
  <c r="S170" i="1"/>
  <c r="U170" i="1" s="1"/>
  <c r="T169" i="1"/>
  <c r="V169" i="1" s="1"/>
  <c r="S169" i="1"/>
  <c r="U169" i="1" s="1"/>
  <c r="V168" i="1"/>
  <c r="T168" i="1"/>
  <c r="S168" i="1"/>
  <c r="U168" i="1" s="1"/>
  <c r="T167" i="1"/>
  <c r="V167" i="1" s="1"/>
  <c r="S167" i="1"/>
  <c r="U167" i="1" s="1"/>
  <c r="V166" i="1"/>
  <c r="T166" i="1"/>
  <c r="S166" i="1"/>
  <c r="U166" i="1" s="1"/>
  <c r="T165" i="1"/>
  <c r="V165" i="1" s="1"/>
  <c r="S165" i="1"/>
  <c r="U165" i="1" s="1"/>
  <c r="V164" i="1"/>
  <c r="T164" i="1"/>
  <c r="S164" i="1"/>
  <c r="U164" i="1" s="1"/>
  <c r="T163" i="1"/>
  <c r="V163" i="1" s="1"/>
  <c r="S163" i="1"/>
  <c r="U163" i="1" s="1"/>
  <c r="U162" i="1"/>
  <c r="S162" i="1"/>
  <c r="N162" i="1"/>
  <c r="S161" i="1"/>
  <c r="U161" i="1" s="1"/>
  <c r="N161" i="1"/>
  <c r="P161" i="1" s="1"/>
  <c r="T161" i="1" s="1"/>
  <c r="V161" i="1" s="1"/>
  <c r="T160" i="1"/>
  <c r="V160" i="1" s="1"/>
  <c r="S160" i="1"/>
  <c r="U160" i="1" s="1"/>
  <c r="U159" i="1"/>
  <c r="T159" i="1"/>
  <c r="V159" i="1" s="1"/>
  <c r="S159" i="1"/>
  <c r="T158" i="1"/>
  <c r="V158" i="1" s="1"/>
  <c r="S158" i="1"/>
  <c r="U158" i="1" s="1"/>
  <c r="U157" i="1"/>
  <c r="T157" i="1"/>
  <c r="V157" i="1" s="1"/>
  <c r="S157" i="1"/>
  <c r="U156" i="1"/>
  <c r="T156" i="1"/>
  <c r="V156" i="1" s="1"/>
  <c r="S156" i="1"/>
  <c r="U155" i="1"/>
  <c r="T155" i="1"/>
  <c r="V155" i="1" s="1"/>
  <c r="S155" i="1"/>
  <c r="U154" i="1"/>
  <c r="T154" i="1"/>
  <c r="V154" i="1" s="1"/>
  <c r="S154" i="1"/>
  <c r="U153" i="1"/>
  <c r="T153" i="1"/>
  <c r="V153" i="1" s="1"/>
  <c r="S153" i="1"/>
  <c r="U152" i="1"/>
  <c r="T152" i="1"/>
  <c r="V152" i="1" s="1"/>
  <c r="S152" i="1"/>
  <c r="U151" i="1"/>
  <c r="T151" i="1"/>
  <c r="V151" i="1" s="1"/>
  <c r="S151" i="1"/>
  <c r="T150" i="1"/>
  <c r="V150" i="1" s="1"/>
  <c r="S150" i="1"/>
  <c r="U150" i="1" s="1"/>
  <c r="U149" i="1"/>
  <c r="T149" i="1"/>
  <c r="V149" i="1" s="1"/>
  <c r="S149" i="1"/>
  <c r="T148" i="1"/>
  <c r="V148" i="1" s="1"/>
  <c r="S148" i="1"/>
  <c r="U148" i="1" s="1"/>
  <c r="U147" i="1"/>
  <c r="T147" i="1"/>
  <c r="V147" i="1" s="1"/>
  <c r="S147" i="1"/>
  <c r="T146" i="1"/>
  <c r="V146" i="1" s="1"/>
  <c r="S146" i="1"/>
  <c r="U146" i="1" s="1"/>
  <c r="U145" i="1"/>
  <c r="T145" i="1"/>
  <c r="V145" i="1" s="1"/>
  <c r="S145" i="1"/>
  <c r="S144" i="1"/>
  <c r="U144" i="1" s="1"/>
  <c r="N144" i="1"/>
  <c r="T143" i="1"/>
  <c r="V143" i="1" s="1"/>
  <c r="S143" i="1"/>
  <c r="U143" i="1" s="1"/>
  <c r="T142" i="1"/>
  <c r="V142" i="1" s="1"/>
  <c r="S142" i="1"/>
  <c r="T141" i="1"/>
  <c r="V141" i="1" s="1"/>
  <c r="S141" i="1"/>
  <c r="U141" i="1" s="1"/>
  <c r="T140" i="1"/>
  <c r="V140" i="1" s="1"/>
  <c r="S140" i="1"/>
  <c r="U140" i="1" s="1"/>
  <c r="V139" i="1"/>
  <c r="T139" i="1"/>
  <c r="S139" i="1"/>
  <c r="T138" i="1"/>
  <c r="V138" i="1" s="1"/>
  <c r="S138" i="1"/>
  <c r="U138" i="1" s="1"/>
  <c r="U137" i="1"/>
  <c r="T137" i="1"/>
  <c r="V137" i="1" s="1"/>
  <c r="S137" i="1"/>
  <c r="T136" i="1"/>
  <c r="V136" i="1" s="1"/>
  <c r="S136" i="1"/>
  <c r="U136" i="1" s="1"/>
  <c r="S135" i="1"/>
  <c r="U135" i="1" s="1"/>
  <c r="N135" i="1"/>
  <c r="T134" i="1"/>
  <c r="V134" i="1" s="1"/>
  <c r="S134" i="1"/>
  <c r="U134" i="1" s="1"/>
  <c r="T133" i="1"/>
  <c r="V133" i="1" s="1"/>
  <c r="S133" i="1"/>
  <c r="U133" i="1" s="1"/>
  <c r="T132" i="1"/>
  <c r="V132" i="1" s="1"/>
  <c r="S132" i="1"/>
  <c r="U132" i="1" s="1"/>
  <c r="T131" i="1"/>
  <c r="V131" i="1" s="1"/>
  <c r="S131" i="1"/>
  <c r="U131" i="1" s="1"/>
  <c r="T130" i="1"/>
  <c r="V130" i="1" s="1"/>
  <c r="S130" i="1"/>
  <c r="U130" i="1" s="1"/>
  <c r="T129" i="1"/>
  <c r="V129" i="1" s="1"/>
  <c r="S129" i="1"/>
  <c r="U129" i="1" s="1"/>
  <c r="T128" i="1"/>
  <c r="V128" i="1" s="1"/>
  <c r="S128" i="1"/>
  <c r="U128" i="1" s="1"/>
  <c r="T127" i="1"/>
  <c r="V127" i="1" s="1"/>
  <c r="S127" i="1"/>
  <c r="U127" i="1" s="1"/>
  <c r="T126" i="1"/>
  <c r="V126" i="1" s="1"/>
  <c r="S126" i="1"/>
  <c r="U126" i="1" s="1"/>
  <c r="T125" i="1"/>
  <c r="V125" i="1" s="1"/>
  <c r="S125" i="1"/>
  <c r="U125" i="1" s="1"/>
  <c r="T124" i="1"/>
  <c r="V124" i="1" s="1"/>
  <c r="S124" i="1"/>
  <c r="U124" i="1" s="1"/>
  <c r="T123" i="1"/>
  <c r="V123" i="1" s="1"/>
  <c r="S123" i="1"/>
  <c r="U123" i="1" s="1"/>
  <c r="T122" i="1"/>
  <c r="V122" i="1" s="1"/>
  <c r="S122" i="1"/>
  <c r="U122" i="1" s="1"/>
  <c r="T121" i="1"/>
  <c r="V121" i="1" s="1"/>
  <c r="S121" i="1"/>
  <c r="S120" i="1"/>
  <c r="U120" i="1" s="1"/>
  <c r="N120" i="1"/>
  <c r="P120" i="1" s="1"/>
  <c r="T120" i="1" s="1"/>
  <c r="V120" i="1" s="1"/>
  <c r="U119" i="1"/>
  <c r="S119" i="1"/>
  <c r="P119" i="1"/>
  <c r="T119" i="1" s="1"/>
  <c r="V119" i="1" s="1"/>
  <c r="S118" i="1"/>
  <c r="U118" i="1" s="1"/>
  <c r="P118" i="1"/>
  <c r="T118" i="1" s="1"/>
  <c r="V118" i="1" s="1"/>
  <c r="S117" i="1"/>
  <c r="U117" i="1" s="1"/>
  <c r="P117" i="1"/>
  <c r="T117" i="1" s="1"/>
  <c r="V117" i="1" s="1"/>
  <c r="N117" i="1"/>
  <c r="T116" i="1"/>
  <c r="V116" i="1" s="1"/>
  <c r="S116" i="1"/>
  <c r="U116" i="1" s="1"/>
  <c r="U115" i="1"/>
  <c r="S115" i="1"/>
  <c r="N115" i="1"/>
  <c r="P115" i="1" s="1"/>
  <c r="T115" i="1" s="1"/>
  <c r="V115" i="1" s="1"/>
  <c r="V114" i="1"/>
  <c r="T114" i="1"/>
  <c r="S114" i="1"/>
  <c r="U114" i="1" s="1"/>
  <c r="T113" i="1"/>
  <c r="V113" i="1" s="1"/>
  <c r="S113" i="1"/>
  <c r="U113" i="1" s="1"/>
  <c r="T112" i="1"/>
  <c r="V112" i="1" s="1"/>
  <c r="S112" i="1"/>
  <c r="T111" i="1"/>
  <c r="V111" i="1" s="1"/>
  <c r="S111" i="1"/>
  <c r="U111" i="1" s="1"/>
  <c r="V110" i="1"/>
  <c r="T110" i="1"/>
  <c r="S110" i="1"/>
  <c r="U110" i="1" s="1"/>
  <c r="T109" i="1"/>
  <c r="V109" i="1" s="1"/>
  <c r="S109" i="1"/>
  <c r="U109" i="1" s="1"/>
  <c r="V108" i="1"/>
  <c r="T108" i="1"/>
  <c r="S108" i="1"/>
  <c r="U108" i="1" s="1"/>
  <c r="T107" i="1"/>
  <c r="V107" i="1" s="1"/>
  <c r="S107" i="1"/>
  <c r="U107" i="1" s="1"/>
  <c r="V106" i="1"/>
  <c r="T106" i="1"/>
  <c r="S106" i="1"/>
  <c r="U106" i="1" s="1"/>
  <c r="T105" i="1"/>
  <c r="V105" i="1" s="1"/>
  <c r="S105" i="1"/>
  <c r="U105" i="1" s="1"/>
  <c r="T104" i="1"/>
  <c r="V104" i="1" s="1"/>
  <c r="S104" i="1"/>
  <c r="U103" i="1"/>
  <c r="T103" i="1"/>
  <c r="V103" i="1" s="1"/>
  <c r="S103" i="1"/>
  <c r="T102" i="1"/>
  <c r="V102" i="1" s="1"/>
  <c r="S102" i="1"/>
  <c r="U102" i="1" s="1"/>
  <c r="U101" i="1"/>
  <c r="T101" i="1"/>
  <c r="V101" i="1" s="1"/>
  <c r="S101" i="1"/>
  <c r="T100" i="1"/>
  <c r="V100" i="1" s="1"/>
  <c r="S100" i="1"/>
  <c r="T99" i="1"/>
  <c r="V99" i="1" s="1"/>
  <c r="S99" i="1"/>
  <c r="U99" i="1" s="1"/>
  <c r="T98" i="1"/>
  <c r="V98" i="1" s="1"/>
  <c r="S98" i="1"/>
  <c r="U98" i="1" s="1"/>
  <c r="T97" i="1"/>
  <c r="V97" i="1" s="1"/>
  <c r="S97" i="1"/>
  <c r="U97" i="1" s="1"/>
  <c r="S96" i="1"/>
  <c r="U96" i="1" s="1"/>
  <c r="N96" i="1"/>
  <c r="P96" i="1" s="1"/>
  <c r="T96" i="1" s="1"/>
  <c r="V96" i="1" s="1"/>
  <c r="T95" i="1"/>
  <c r="V95" i="1" s="1"/>
  <c r="S95" i="1"/>
  <c r="U95" i="1" s="1"/>
  <c r="U94" i="1"/>
  <c r="T94" i="1"/>
  <c r="V94" i="1" s="1"/>
  <c r="S94" i="1"/>
  <c r="T93" i="1"/>
  <c r="V93" i="1" s="1"/>
  <c r="S93" i="1"/>
  <c r="U93" i="1" s="1"/>
  <c r="T92" i="1"/>
  <c r="V92" i="1" s="1"/>
  <c r="S92" i="1"/>
  <c r="U92" i="1" s="1"/>
  <c r="T91" i="1"/>
  <c r="V91" i="1" s="1"/>
  <c r="S91" i="1"/>
  <c r="U91" i="1" s="1"/>
  <c r="T90" i="1"/>
  <c r="V90" i="1" s="1"/>
  <c r="S90" i="1"/>
  <c r="U90" i="1" s="1"/>
  <c r="T89" i="1"/>
  <c r="V89" i="1" s="1"/>
  <c r="S89" i="1"/>
  <c r="U89" i="1" s="1"/>
  <c r="T88" i="1"/>
  <c r="V88" i="1" s="1"/>
  <c r="S88" i="1"/>
  <c r="U88" i="1" s="1"/>
  <c r="T87" i="1"/>
  <c r="V87" i="1" s="1"/>
  <c r="S87" i="1"/>
  <c r="U87" i="1" s="1"/>
  <c r="T86" i="1"/>
  <c r="V86" i="1" s="1"/>
  <c r="S86" i="1"/>
  <c r="U86" i="1" s="1"/>
  <c r="T85" i="1"/>
  <c r="V85" i="1" s="1"/>
  <c r="S85" i="1"/>
  <c r="U85" i="1" s="1"/>
  <c r="T84" i="1"/>
  <c r="V84" i="1" s="1"/>
  <c r="S84" i="1"/>
  <c r="U84" i="1" s="1"/>
  <c r="T83" i="1"/>
  <c r="V83" i="1" s="1"/>
  <c r="S83" i="1"/>
  <c r="U83" i="1" s="1"/>
  <c r="T82" i="1"/>
  <c r="V82" i="1" s="1"/>
  <c r="S82" i="1"/>
  <c r="U82" i="1" s="1"/>
  <c r="T81" i="1"/>
  <c r="V81" i="1" s="1"/>
  <c r="S81" i="1"/>
  <c r="U81" i="1" s="1"/>
  <c r="T80" i="1"/>
  <c r="V80" i="1" s="1"/>
  <c r="S80" i="1"/>
  <c r="U80" i="1" s="1"/>
  <c r="S79" i="1"/>
  <c r="U79" i="1" s="1"/>
  <c r="N79" i="1"/>
  <c r="T78" i="1"/>
  <c r="V78" i="1" s="1"/>
  <c r="S78" i="1"/>
  <c r="U78" i="1" s="1"/>
  <c r="T77" i="1"/>
  <c r="V77" i="1" s="1"/>
  <c r="S77" i="1"/>
  <c r="U77" i="1" s="1"/>
  <c r="T76" i="1"/>
  <c r="V76" i="1" s="1"/>
  <c r="S76" i="1"/>
  <c r="U76" i="1" s="1"/>
  <c r="T75" i="1"/>
  <c r="V75" i="1" s="1"/>
  <c r="S75" i="1"/>
  <c r="U75" i="1" s="1"/>
  <c r="T74" i="1"/>
  <c r="V74" i="1" s="1"/>
  <c r="S74" i="1"/>
  <c r="U74" i="1" s="1"/>
  <c r="T73" i="1"/>
  <c r="V73" i="1" s="1"/>
  <c r="S73" i="1"/>
  <c r="U73" i="1" s="1"/>
  <c r="T72" i="1"/>
  <c r="V72" i="1" s="1"/>
  <c r="S72" i="1"/>
  <c r="U72" i="1" s="1"/>
  <c r="T71" i="1"/>
  <c r="V71" i="1" s="1"/>
  <c r="S71" i="1"/>
  <c r="U71" i="1" s="1"/>
  <c r="T70" i="1"/>
  <c r="V70" i="1" s="1"/>
  <c r="S70" i="1"/>
  <c r="U70" i="1" s="1"/>
  <c r="T69" i="1"/>
  <c r="S69" i="1"/>
  <c r="U69" i="1" s="1"/>
  <c r="T68" i="1"/>
  <c r="V68" i="1" s="1"/>
  <c r="S68" i="1"/>
  <c r="U68" i="1" s="1"/>
  <c r="T67" i="1"/>
  <c r="V67" i="1" s="1"/>
  <c r="S67" i="1"/>
  <c r="U67" i="1" s="1"/>
  <c r="T66" i="1"/>
  <c r="V66" i="1" s="1"/>
  <c r="S66" i="1"/>
  <c r="U66" i="1" s="1"/>
  <c r="T65" i="1"/>
  <c r="V65" i="1" s="1"/>
  <c r="S65" i="1"/>
  <c r="U65" i="1" s="1"/>
  <c r="T64" i="1"/>
  <c r="V64" i="1" s="1"/>
  <c r="S64" i="1"/>
  <c r="U64" i="1" s="1"/>
  <c r="T63" i="1"/>
  <c r="V63" i="1" s="1"/>
  <c r="S63" i="1"/>
  <c r="U63" i="1" s="1"/>
  <c r="S62" i="1"/>
  <c r="U62" i="1" s="1"/>
  <c r="N62" i="1"/>
  <c r="P62" i="1" s="1"/>
  <c r="T62" i="1" s="1"/>
  <c r="M59" i="1"/>
  <c r="K59" i="1"/>
  <c r="AD39" i="1"/>
  <c r="C4" i="3" s="1"/>
  <c r="S38" i="1"/>
  <c r="U38" i="1" s="1"/>
  <c r="P38" i="1"/>
  <c r="T38" i="1" s="1"/>
  <c r="V38" i="1" s="1"/>
  <c r="S37" i="1"/>
  <c r="N37" i="1"/>
  <c r="S36" i="1"/>
  <c r="P36" i="1"/>
  <c r="T36" i="1" s="1"/>
  <c r="T35" i="1"/>
  <c r="V35" i="1" s="1"/>
  <c r="S35" i="1"/>
  <c r="T34" i="1"/>
  <c r="V34" i="1" s="1"/>
  <c r="S34" i="1"/>
  <c r="T33" i="1"/>
  <c r="V33" i="1" s="1"/>
  <c r="S33" i="1"/>
  <c r="T32" i="1"/>
  <c r="V32" i="1" s="1"/>
  <c r="S32" i="1"/>
  <c r="T31" i="1"/>
  <c r="V31" i="1" s="1"/>
  <c r="S31" i="1"/>
  <c r="AD28" i="1"/>
  <c r="C3" i="3" s="1"/>
  <c r="U27" i="1"/>
  <c r="U26" i="1"/>
  <c r="U25" i="1"/>
  <c r="M25" i="1"/>
  <c r="K25" i="1"/>
  <c r="U24" i="1"/>
  <c r="U23" i="1"/>
  <c r="U22" i="1"/>
  <c r="U21" i="1"/>
  <c r="U20" i="1"/>
  <c r="U19" i="1"/>
  <c r="U18" i="1"/>
  <c r="U17" i="1"/>
  <c r="U16" i="1"/>
  <c r="U15" i="1"/>
  <c r="J15" i="1"/>
  <c r="U14" i="1"/>
  <c r="AB13" i="1"/>
  <c r="U13" i="1"/>
  <c r="V358" i="1" l="1"/>
  <c r="AE357" i="1"/>
  <c r="D9" i="3" s="1"/>
  <c r="E9" i="3" s="1"/>
  <c r="U368" i="1"/>
  <c r="P417" i="1"/>
  <c r="T417" i="1" s="1"/>
  <c r="V417" i="1" s="1"/>
  <c r="E16" i="3"/>
  <c r="P216" i="1"/>
  <c r="T216" i="1" s="1"/>
  <c r="V216" i="1" s="1"/>
  <c r="AE328" i="1"/>
  <c r="D5" i="3" s="1"/>
  <c r="E5" i="3" s="1"/>
  <c r="T377" i="1"/>
  <c r="T267" i="1"/>
  <c r="V267" i="1" s="1"/>
  <c r="AC351" i="1"/>
  <c r="D4" i="2" s="1"/>
  <c r="E4" i="2" s="1"/>
  <c r="U394" i="1"/>
  <c r="T457" i="1"/>
  <c r="T348" i="1"/>
  <c r="V348" i="1" s="1"/>
  <c r="V36" i="1"/>
  <c r="V62" i="1"/>
  <c r="V377" i="1"/>
  <c r="AE376" i="1"/>
  <c r="D15" i="3" s="1"/>
  <c r="E15" i="3" s="1"/>
  <c r="P405" i="1"/>
  <c r="T405" i="1"/>
  <c r="V413" i="1"/>
  <c r="P427" i="1"/>
  <c r="T427" i="1" s="1"/>
  <c r="V427" i="1" s="1"/>
  <c r="P37" i="1"/>
  <c r="T37" i="1" s="1"/>
  <c r="P162" i="1"/>
  <c r="T162" i="1" s="1"/>
  <c r="V162" i="1" s="1"/>
  <c r="P237" i="1"/>
  <c r="T237" i="1" s="1"/>
  <c r="V237" i="1" s="1"/>
  <c r="P268" i="1"/>
  <c r="T268" i="1" s="1"/>
  <c r="V268" i="1" s="1"/>
  <c r="AE345" i="1"/>
  <c r="D6" i="3" s="1"/>
  <c r="E6" i="3" s="1"/>
  <c r="V355" i="1"/>
  <c r="AE354" i="1"/>
  <c r="D8" i="3" s="1"/>
  <c r="E8" i="3" s="1"/>
  <c r="P414" i="1"/>
  <c r="T414" i="1"/>
  <c r="V414" i="1" s="1"/>
  <c r="T423" i="1"/>
  <c r="V423" i="1" s="1"/>
  <c r="P423" i="1"/>
  <c r="U349" i="1"/>
  <c r="AC361" i="1"/>
  <c r="D5" i="2" s="1"/>
  <c r="E5" i="2" s="1"/>
  <c r="AE362" i="1"/>
  <c r="D10" i="3" s="1"/>
  <c r="E10" i="3" s="1"/>
  <c r="P79" i="1"/>
  <c r="T79" i="1" s="1"/>
  <c r="P135" i="1"/>
  <c r="T135" i="1" s="1"/>
  <c r="V135" i="1" s="1"/>
  <c r="P144" i="1"/>
  <c r="T144" i="1" s="1"/>
  <c r="V144" i="1" s="1"/>
  <c r="U448" i="1"/>
  <c r="AB473" i="1"/>
  <c r="C3" i="2"/>
  <c r="C9" i="2" s="1"/>
  <c r="C26" i="3"/>
  <c r="V69" i="1"/>
  <c r="V353" i="1"/>
  <c r="V363" i="1"/>
  <c r="AE366" i="1"/>
  <c r="D12" i="3" s="1"/>
  <c r="E12" i="3" s="1"/>
  <c r="V367" i="1"/>
  <c r="T374" i="1"/>
  <c r="P375" i="1"/>
  <c r="T375" i="1" s="1"/>
  <c r="V375" i="1" s="1"/>
  <c r="P406" i="1"/>
  <c r="T406" i="1" s="1"/>
  <c r="V406" i="1" s="1"/>
  <c r="P416" i="1"/>
  <c r="T416" i="1" s="1"/>
  <c r="V416" i="1" s="1"/>
  <c r="V420" i="1"/>
  <c r="AE419" i="1"/>
  <c r="D21" i="3" s="1"/>
  <c r="E21" i="3" s="1"/>
  <c r="P422" i="1"/>
  <c r="T422" i="1"/>
  <c r="V425" i="1"/>
  <c r="P428" i="1"/>
  <c r="T428" i="1" s="1"/>
  <c r="V428" i="1" s="1"/>
  <c r="V457" i="1"/>
  <c r="U359" i="1"/>
  <c r="P372" i="1"/>
  <c r="T372" i="1" s="1"/>
  <c r="P408" i="1"/>
  <c r="T408" i="1" s="1"/>
  <c r="P418" i="1"/>
  <c r="T418" i="1" s="1"/>
  <c r="V418" i="1" s="1"/>
  <c r="T426" i="1"/>
  <c r="V426" i="1" s="1"/>
  <c r="AE429" i="1"/>
  <c r="D24" i="3" s="1"/>
  <c r="E24" i="3" s="1"/>
  <c r="V359" i="1" l="1"/>
  <c r="AE407" i="1"/>
  <c r="D18" i="3" s="1"/>
  <c r="E18" i="3" s="1"/>
  <c r="V408" i="1"/>
  <c r="V37" i="1"/>
  <c r="V349" i="1" s="1"/>
  <c r="T15" i="1"/>
  <c r="AE28" i="1"/>
  <c r="D3" i="3" s="1"/>
  <c r="AC13" i="1"/>
  <c r="AE371" i="1"/>
  <c r="D13" i="3" s="1"/>
  <c r="E13" i="3" s="1"/>
  <c r="V372" i="1"/>
  <c r="AC370" i="1"/>
  <c r="D6" i="2" s="1"/>
  <c r="E6" i="2" s="1"/>
  <c r="V79" i="1"/>
  <c r="AE39" i="1"/>
  <c r="D4" i="3" s="1"/>
  <c r="E4" i="3" s="1"/>
  <c r="U450" i="1"/>
  <c r="V405" i="1"/>
  <c r="AE404" i="1"/>
  <c r="D17" i="3" s="1"/>
  <c r="E17" i="3" s="1"/>
  <c r="AC397" i="1"/>
  <c r="D7" i="2" s="1"/>
  <c r="E7" i="2" s="1"/>
  <c r="AE424" i="1"/>
  <c r="D23" i="3" s="1"/>
  <c r="E23" i="3" s="1"/>
  <c r="V422" i="1"/>
  <c r="AE421" i="1"/>
  <c r="D22" i="3" s="1"/>
  <c r="E22" i="3" s="1"/>
  <c r="AE373" i="1"/>
  <c r="D14" i="3" s="1"/>
  <c r="E14" i="3" s="1"/>
  <c r="V374" i="1"/>
  <c r="V368" i="1"/>
  <c r="AE412" i="1"/>
  <c r="D20" i="3" s="1"/>
  <c r="E20" i="3" s="1"/>
  <c r="V394" i="1" l="1"/>
  <c r="V450" i="1" s="1"/>
  <c r="AC473" i="1"/>
  <c r="D3" i="2"/>
  <c r="V448" i="1"/>
  <c r="D26" i="3"/>
  <c r="E26" i="3" s="1"/>
  <c r="E3" i="3"/>
  <c r="D9" i="2" l="1"/>
  <c r="E9" i="2" s="1"/>
  <c r="E3" i="2"/>
</calcChain>
</file>

<file path=xl/sharedStrings.xml><?xml version="1.0" encoding="utf-8"?>
<sst xmlns="http://schemas.openxmlformats.org/spreadsheetml/2006/main" count="1707" uniqueCount="795">
  <si>
    <t>Formulir E.81</t>
  </si>
  <si>
    <t>Evaluasi Terhadap Hasil Renja Perangkat Daerah Lingkup Kota Malang</t>
  </si>
  <si>
    <t>Renja Perangkat Daerah : Dinas Kesehatan Kota Malang</t>
  </si>
  <si>
    <t>Periode Pelaksanaan Triwulan IV Tahun 2024</t>
  </si>
  <si>
    <t>Indikator dan target Perangkat Daerah Kota Malang yang mengacu pada sasaran RKPD :</t>
  </si>
  <si>
    <t>No</t>
  </si>
  <si>
    <t>Sasaran</t>
  </si>
  <si>
    <t>Program / Kegiatan / Sub Kegiatan</t>
  </si>
  <si>
    <t>Indikator Kinerja Program (Outcome) / Kegiatan / Sub Kegiatan (Output)</t>
  </si>
  <si>
    <t>Target Renstra Perangkat Daerah pada Tahun 2026 (Akhir Periode Renstra Perangkat Daerah)</t>
  </si>
  <si>
    <t>Realisasi Capaian Kinerja Renstra Perangkat Daerah sampai dengan Renja Perangkat Daerah Tahun Lalu (2023)</t>
  </si>
  <si>
    <t>Target Kinerja dan Anggaran Perangkat Daerah Tahun berjalan (tahun 2024) yang dievaluasi</t>
  </si>
  <si>
    <t>Realisasi Kinerja Pada Triwulan</t>
  </si>
  <si>
    <t>Realisasi Capaian Kinerja dan Anggaran Renja Perangkat Daerah yang dievaluasi (2024)</t>
  </si>
  <si>
    <t>Tingkat Capaian Kinerja dan Realisasi Anggaran Renja Perangkat Daerah yang dievaluasi Tahun 2024 (%)</t>
  </si>
  <si>
    <t>Realisasi Kinerja dan Anggaran Renstra Perangkat Daerah s.d. tahun 2024 (Akhir Tahun Pelaksanaan Renja Perangkat Daerah Tahun 2024)</t>
  </si>
  <si>
    <t>Tingkat Capaian Kinerja dan Realisasi Anggaran Renstra Perangkat Daerah s.d Tahun 2024 (%)</t>
  </si>
  <si>
    <t>Unit SKPD (Penanggung Jawab)</t>
  </si>
  <si>
    <t>I</t>
  </si>
  <si>
    <t>II</t>
  </si>
  <si>
    <t>III</t>
  </si>
  <si>
    <t>IV</t>
  </si>
  <si>
    <t>12 = 8+9+10+11</t>
  </si>
  <si>
    <t>13=12/7x100%</t>
  </si>
  <si>
    <t>14=6+12</t>
  </si>
  <si>
    <t>15=14/5x100%</t>
  </si>
  <si>
    <t>K</t>
  </si>
  <si>
    <t>Rp.</t>
  </si>
  <si>
    <t>Meningkatnya status kesehatan masyarakat</t>
  </si>
  <si>
    <t>Indeks Keluarga Sehat</t>
  </si>
  <si>
    <t>Persentase RS, Puskesmas, Labkesda yang Terakreditasi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</si>
  <si>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</si>
  <si>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</si>
  <si>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</si>
  <si>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</si>
  <si>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</si>
  <si>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</si>
  <si>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</si>
  <si>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</si>
  <si>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22.01%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</si>
  <si>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</si>
  <si>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</si>
  <si>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</si>
  <si>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</si>
  <si>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</si>
  <si>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</si>
  <si>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&lt;0,6%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</si>
  <si>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</si>
  <si>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</si>
  <si>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</si>
  <si>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</si>
  <si>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</si>
  <si>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</si>
  <si>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</si>
  <si>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>0 unit</t>
  </si>
  <si>
    <t xml:space="preserve">1 Unit
</t>
  </si>
  <si>
    <t>Dinas Kesehatan</t>
  </si>
  <si>
    <t>Pengembangan Puskesmas</t>
  </si>
  <si>
    <t>Jumlah Puskesmas yang Ditingkatkan Sarana, Prasarana, Alat Kesehatan dan SDM agar Sesuai Standar</t>
  </si>
  <si>
    <t>1 Unit</t>
  </si>
  <si>
    <t>Pengembangan Fasilitas Kesehatan Lainnya (Labkesda)</t>
  </si>
  <si>
    <t>Jumlah Fasilitas Kesehatan Lainnya yang Ditingkatkan Sarana, Prasarana, Alat Kesehatan dan SDM agar Sesuai Standar</t>
  </si>
  <si>
    <t>Labkesda</t>
  </si>
  <si>
    <t xml:space="preserve">Rehabilitasi dan Pemeliharaan Fasilitas Kesehatan Lainnya (Labkesda)
</t>
  </si>
  <si>
    <t>Jumlah Sarana , Prasarana dan Alat Kesehatan yang Telah Dilakukan Rehabilitasi dan Pemeliharaan oleh Fasilitas Kesehatan Lainnya</t>
  </si>
  <si>
    <t>Pengadaan Alat Kesehatan/Alat Penunjang Medik Fasilitas Pelayanan Kesehatan</t>
  </si>
  <si>
    <t>Jumlah Alat Kesehatan/Alat Penunjang Medik Fasilitas Pelayanan Kesehatan yang Disediakan</t>
  </si>
  <si>
    <t>20 unit</t>
  </si>
  <si>
    <t>4 Unit</t>
  </si>
  <si>
    <t>Pemeliharaan Rutin dan Berkala Alat Kesehatan/Alat Penunjang Medik Fasilitas Pelayanan Kesehatan</t>
  </si>
  <si>
    <t>Jumlah Alat Kesehatan/Alat Penunjang Medik Fasilitas Layanan Kesehatan yang Terpelihara Sesuai Standar</t>
  </si>
  <si>
    <t>559 unit</t>
  </si>
  <si>
    <t xml:space="preserve">618 Unit
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</si>
  <si>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</si>
  <si>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</si>
  <si>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>2 paket</t>
  </si>
  <si>
    <t>9 Paket</t>
  </si>
  <si>
    <t>Pengelolaan Pelayanan Kesehatan Dasar Melalui Pendekatan Keluarga</t>
  </si>
  <si>
    <t>Jumlah Keluarga yang Sudah Dikunjungi dan Diintervensi Masalah Kesehatannya oleh Tenaga Kesehatan Puskesmas</t>
  </si>
  <si>
    <t>156.425 keluarga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</si>
  <si>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</si>
  <si>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</si>
  <si>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</si>
  <si>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</si>
  <si>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</si>
  <si>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</si>
  <si>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</si>
  <si>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</si>
  <si>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</si>
  <si>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</si>
  <si>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</si>
  <si>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</si>
  <si>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</si>
  <si>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</si>
  <si>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</si>
  <si>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</si>
  <si>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</si>
  <si>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10,52%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</si>
  <si>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</si>
  <si>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</si>
  <si>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</si>
  <si>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</si>
  <si>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</si>
  <si>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</si>
  <si>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</si>
  <si>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</si>
  <si>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Pengelolaan Pelayanan Kesehatan Ibu Hamil (Dinas Kesehatan)</t>
  </si>
  <si>
    <t>Jumlah Ibu Hamil yang Mendapatkan Pelayanan Kesehatan Sesuai Standar</t>
  </si>
  <si>
    <t>12.946 orang</t>
  </si>
  <si>
    <t>12946 Orang</t>
  </si>
  <si>
    <t>Pengelolaan Pelayanan Kesehatan Ibu Hamil (Puskesmas Janti)</t>
  </si>
  <si>
    <t>1110 Orang</t>
  </si>
  <si>
    <t>Puskesmas Janti</t>
  </si>
  <si>
    <t>Pengelolaan Pelayanan Kesehatan Ibu Hamil (Puskesmas Dinoyo)</t>
  </si>
  <si>
    <t>791 Orang</t>
  </si>
  <si>
    <t>Puskesmas Dinoyo</t>
  </si>
  <si>
    <t>Pengelolaan Pelayanan Kesehatan Ibu Hamil (Puskesmas Mojolangu)</t>
  </si>
  <si>
    <t>807 Orang</t>
  </si>
  <si>
    <t>Puskesmas Mojolangu</t>
  </si>
  <si>
    <t>Pengelolaan Pelayanan Kesehatan Ibu Hamil (Puskesmas Kendalsari)</t>
  </si>
  <si>
    <t>716 Orang</t>
  </si>
  <si>
    <t>Puskesmas Kendalsari</t>
  </si>
  <si>
    <t>Pengelolaan Pelayanan Kesehatan Ibu Hamil (Puskesmas Arjuno)</t>
  </si>
  <si>
    <t>493 Orang</t>
  </si>
  <si>
    <t>Puskesmas Arjuno</t>
  </si>
  <si>
    <t>Pengelolaan Pelayanan Kesehatan Ibu Hamil (Puskesmas Rampal Celaket)</t>
  </si>
  <si>
    <t>325 Orang</t>
  </si>
  <si>
    <t>Puskesmas Rampal Celaket</t>
  </si>
  <si>
    <t>Pengelolaan Pelayanan Kesehatan Ibu Hamil (Puskesmas Bareng)</t>
  </si>
  <si>
    <t xml:space="preserve">433 Orang
</t>
  </si>
  <si>
    <t>Puskesmas Bareng</t>
  </si>
  <si>
    <t>Pengelolaan Pelayanan Kesehatan Ibu Hamil (Puskesmas Kedungkandang)</t>
  </si>
  <si>
    <t>796 Orang</t>
  </si>
  <si>
    <t>Puskesmas Kedungkandang</t>
  </si>
  <si>
    <t>Pengelolaan Pelayanan Kesehatan Ibu Hamil (Puskesmas Gribig)</t>
  </si>
  <si>
    <t>1149 Orang</t>
  </si>
  <si>
    <t>Puskesmas Gribig</t>
  </si>
  <si>
    <t>Pengelolaan Pelayanan Kesehatan Ibu Hamil (Puskesmas Arjowinangun)</t>
  </si>
  <si>
    <t>817 Orang</t>
  </si>
  <si>
    <t>Puskesmas Arjowinangun</t>
  </si>
  <si>
    <t>Pengelolaan Pelayanan Kesehatan Ibu Hamil (Puskesmas Mulyorejo)</t>
  </si>
  <si>
    <t>1083 Orang</t>
  </si>
  <si>
    <t>Puskesmas Mulyorejo</t>
  </si>
  <si>
    <t>Pengelolaan Pelayanan Kesehatan Ibu Hamil (Puskesmas Ciptomulyo)</t>
  </si>
  <si>
    <t>701 Orang</t>
  </si>
  <si>
    <t>Puskesmas Ciptomulyo</t>
  </si>
  <si>
    <t>Pengelolaan Pelayanan Kesehatan Ibu Hamil (Puskesmas Kendalkerep)</t>
  </si>
  <si>
    <t>983 Orang</t>
  </si>
  <si>
    <t>Puskesmas Kendalkerep</t>
  </si>
  <si>
    <t>Pengelolaan Pelayanan Kesehatan Ibu Hamil (Puskesmas Pandanwangi)</t>
  </si>
  <si>
    <t>600 Orang</t>
  </si>
  <si>
    <t>Puskesmas Pandanwangi</t>
  </si>
  <si>
    <t>Pengelolaan Pelayanan Kesehatan Ibu Hamil (Puskesmas Polowijen)</t>
  </si>
  <si>
    <t>509 Orang</t>
  </si>
  <si>
    <t>Puskesmas Polowijen</t>
  </si>
  <si>
    <t>Pengelolaan Pelayanan Kesehatan Ibu Hamil (Puskesmas Cisadea)</t>
  </si>
  <si>
    <t xml:space="preserve">517 Orang
</t>
  </si>
  <si>
    <t>Puskesmas Cisadea</t>
  </si>
  <si>
    <t>Pengelolaan Pelayanan Kesehatan Ibu Bersalin (Dinas Kesehatan)</t>
  </si>
  <si>
    <t xml:space="preserve">Jumlah Ibu Bersalin yang Mendapatkan Pelayanan Kesehatan Sesuai Standar </t>
  </si>
  <si>
    <t>11928 orang</t>
  </si>
  <si>
    <t xml:space="preserve">11928 Orang
</t>
  </si>
  <si>
    <t>Pengelolaan Pelayanan Kesehatan Ibu Bersalin (Puskesmas Janti)</t>
  </si>
  <si>
    <t>1104 Orang</t>
  </si>
  <si>
    <t>Pengelolaan Pelayanan Kesehatan Ibu Bersalin (Puskesmas Dinoyo)</t>
  </si>
  <si>
    <t>784 Orang</t>
  </si>
  <si>
    <t>Pengelolaan Pelayanan Kesehatan Ibu Bersalin (Puskesmas Mojolangu)</t>
  </si>
  <si>
    <t>804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</si>
  <si>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</si>
  <si>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</si>
  <si>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</si>
  <si>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</si>
  <si>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</si>
  <si>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311 Orang</t>
  </si>
  <si>
    <t>Pengelolaan Pelayanan Kesehatan Ibu Bersalin (Puskesmas Bareng)</t>
  </si>
  <si>
    <t>413 Orang</t>
  </si>
  <si>
    <t>Pengelolaan Pelayanan Kesehatan Ibu Bersalin (Puskesmas Kedungkandang)</t>
  </si>
  <si>
    <t>914 Orang</t>
  </si>
  <si>
    <t>Pengelolaan Pelayanan Kesehatan Ibu Bersalin (Puskesmas Gribig)</t>
  </si>
  <si>
    <t>1097 Orang</t>
  </si>
  <si>
    <t>Pengelolaan Pelayanan Kesehatan Ibu Bersalin (Puskesmas Arjowinangun)</t>
  </si>
  <si>
    <t>813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</si>
  <si>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</si>
  <si>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</si>
  <si>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</si>
  <si>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</si>
  <si>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</si>
  <si>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</si>
  <si>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</si>
  <si>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</si>
  <si>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</si>
  <si>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</si>
  <si>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514 Orang</t>
  </si>
  <si>
    <t>Pengelolaan Pelayanan Kesehatan Bayi Baru Lahir</t>
  </si>
  <si>
    <t xml:space="preserve">Jumlah Bayi Baru Lahir yang Mendapatkan Pelayanan Kesehatan Sesuai Standar </t>
  </si>
  <si>
    <t>11.360 orang</t>
  </si>
  <si>
    <t>11360 Orang</t>
  </si>
  <si>
    <t xml:space="preserve">Pengelolaan Pelayanan Kesehatan Balita </t>
  </si>
  <si>
    <t>Jumlah Balita yang Mendapatkan Pelayanan Kesehatan Sesuai Standar</t>
  </si>
  <si>
    <t>46.427 orang</t>
  </si>
  <si>
    <t xml:space="preserve">46427 Orang
</t>
  </si>
  <si>
    <t>Pengelolaan Pelayanan Kesehatan pada Usia Pendidikan Dasar (Dinas Kesehatan)</t>
  </si>
  <si>
    <t>Jumlah Anak Usia Pendidikan Dasar yang Mendapatkan Pelayanan Kesehatan Sesuai Standar</t>
  </si>
  <si>
    <t>98532 orang</t>
  </si>
  <si>
    <t>98532 Orang</t>
  </si>
  <si>
    <t>Pengelolaan Pelayanan Kesehatan pada Usia Pendidikan Dasar (Puskesmas Janti)</t>
  </si>
  <si>
    <t>8.535 Orang</t>
  </si>
  <si>
    <t>Pengelolaan Pelayanan Kesehatan pada Usia Pendidikan Dasar (Puskesmas Dinoyo)</t>
  </si>
  <si>
    <t>7343 Orang</t>
  </si>
  <si>
    <t>Pengelolaan Pelayanan Kesehatan pada Usia Pendidikan Dasar (Puskesmas Mojolangu)</t>
  </si>
  <si>
    <t>10228 Orang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</si>
  <si>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</si>
  <si>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</si>
  <si>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</si>
  <si>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</si>
  <si>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</si>
  <si>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</si>
  <si>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</si>
  <si>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</si>
  <si>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</si>
  <si>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</si>
  <si>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</si>
  <si>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>10969 Orang</t>
  </si>
  <si>
    <t>Pengelolaan Pelayanan Kesehatan pada Usia Pendidikan Dasar (Puskesmas Arjowinangun)</t>
  </si>
  <si>
    <t xml:space="preserve">7724 Orang
</t>
  </si>
  <si>
    <t>Pengelolaan Pelayanan Kesehatan pada Usia Pendidikan Dasar (Puskesmas Mulyorejo)</t>
  </si>
  <si>
    <t>9604 Orang</t>
  </si>
  <si>
    <t>Pengelolaan Pelayanan Kesehatan pada Usia Pendidikan Dasar (Puskesmas Ciptomulyo)</t>
  </si>
  <si>
    <t>7670 Orang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</si>
  <si>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</si>
  <si>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</si>
  <si>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</si>
  <si>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5776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</si>
  <si>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</si>
  <si>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</si>
  <si>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</si>
  <si>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4779 Orang</t>
  </si>
  <si>
    <t>Pengelolaan Pelayanan Kesehatan pada Usia Produktif</t>
  </si>
  <si>
    <t xml:space="preserve">Jumlah Penduduk Usia Produktif yang Mendapatkan Pelayanan Kesehatan Sesuai Standar </t>
  </si>
  <si>
    <t>606.244 orang</t>
  </si>
  <si>
    <t>606244 Orang</t>
  </si>
  <si>
    <t>Pengelolaan Pelayanan Kesehatan pada Usia Lanjut</t>
  </si>
  <si>
    <t xml:space="preserve">Jumlah Penduduk Usia Lanjut yang Mendapatkan Pelayanan Kesehatan Sesuai Standar </t>
  </si>
  <si>
    <t>110.746 orang</t>
  </si>
  <si>
    <t>110746 Orang</t>
  </si>
  <si>
    <t>Pengelolaan Pelayanan Kesehatan Penderita Hipertensi</t>
  </si>
  <si>
    <t xml:space="preserve">Jumlah Penderita Hipertensi yang Mendapatkan Pelayanan Kesehatan Sesuai Standar </t>
  </si>
  <si>
    <t>228.720 orang</t>
  </si>
  <si>
    <t xml:space="preserve">228720 Orang
</t>
  </si>
  <si>
    <t>Pengelolaan Pelayanan Kesehatan Penderita Diabetes Melitus</t>
  </si>
  <si>
    <t>Jumlah Penderita Diabetes Melitus yang Mendapatkan Pelayanan Kesehatan Sesuai Standar</t>
  </si>
  <si>
    <t>22.227 orang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</si>
  <si>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</si>
  <si>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</si>
  <si>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</si>
  <si>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1.415 orang</t>
  </si>
  <si>
    <t xml:space="preserve">1415 Orang
</t>
  </si>
  <si>
    <t>Pengelolaan Pelayanan Kesehatan Orang Terduga Tuberkulosis (Dinas Kesehatan)</t>
  </si>
  <si>
    <t>Jumlah Orang Terduga Menderita Tuberkulosis yang Mendapatkan Pelayanan Sesuai Standar</t>
  </si>
  <si>
    <t>17.010 orang</t>
  </si>
  <si>
    <t xml:space="preserve">17010 Orang
</t>
  </si>
  <si>
    <t>Pengelolaan Pelayanan Kesehatan Orang Terduga Tuberkulosis (Puskesmas Janti)</t>
  </si>
  <si>
    <t>1.652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</si>
  <si>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</si>
  <si>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</si>
  <si>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</si>
  <si>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976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</si>
  <si>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</si>
  <si>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</si>
  <si>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</si>
  <si>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</si>
  <si>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</si>
  <si>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369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</si>
  <si>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</si>
  <si>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</si>
  <si>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</si>
  <si>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1137 Orang</t>
  </si>
  <si>
    <t>Pengelolaan Pelayanan Kesehatan Orang Terduga Tuberkulosis (Puskesmas Mulyorejo)</t>
  </si>
  <si>
    <t>1176 Orang</t>
  </si>
  <si>
    <t>Pengelolaan Pelayanan Kesehatan Orang Terduga Tuberkulosis (Puskesmas Ciptomulyo)</t>
  </si>
  <si>
    <t>500 Orang</t>
  </si>
  <si>
    <t>Pengelolaan Pelayanan Kesehatan Orang Terduga Tuberkulosis (Puskesmas Kendalkerep)</t>
  </si>
  <si>
    <t>790 Orang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</si>
  <si>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</si>
  <si>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</si>
  <si>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</si>
  <si>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</si>
  <si>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</si>
  <si>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>622 Orang</t>
  </si>
  <si>
    <t>Pengelolaan Pelayanan Kesehatan Orang dengan Risiko Terinfeksi HIV (Dinas Kesehatan)</t>
  </si>
  <si>
    <t>Jumlah Orang Terduga Menderita HIV yang Mendapatkan Pelayanan Sesuai Standar</t>
  </si>
  <si>
    <t>18.600 orang</t>
  </si>
  <si>
    <t xml:space="preserve">18600 Orang
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</si>
  <si>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</si>
  <si>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</si>
  <si>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</si>
  <si>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</si>
  <si>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</si>
  <si>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</si>
  <si>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1000 Orang</t>
  </si>
  <si>
    <t>Pengelolaan Pelayanan Kesehatan Orang dengan Risiko Terinfeksi HIV (Puskesmas Ciptomulyo)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</si>
  <si>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</si>
  <si>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</si>
  <si>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</si>
  <si>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</si>
  <si>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</si>
  <si>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>505 Orang</t>
  </si>
  <si>
    <t>Pengelolaan Pelayanan Kesehatan Gizi Masyarakat (Dinas Kesehatan)</t>
  </si>
  <si>
    <t xml:space="preserve">Jumlah Dokumen Hasil Pengelolaan Pelayanan Kesehatan Gizi Masyarakat </t>
  </si>
  <si>
    <t>6 dokumen</t>
  </si>
  <si>
    <t>6 Dokumen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</si>
  <si>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</si>
  <si>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</si>
  <si>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</si>
  <si>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</si>
  <si>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</si>
  <si>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</si>
  <si>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</si>
  <si>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</si>
  <si>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</si>
  <si>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</si>
  <si>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</si>
  <si>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</si>
  <si>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</si>
  <si>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</si>
  <si>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</si>
  <si>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</si>
  <si>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</si>
  <si>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</si>
  <si>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</si>
  <si>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</si>
  <si>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</si>
  <si>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 xml:space="preserve">4 Dokumen
</t>
  </si>
  <si>
    <t>Pengelolaan Pelayanan Kesehatan Lingkungan (Dinas Kesehatan)</t>
  </si>
  <si>
    <t xml:space="preserve">Jumlah Dokumen Hasil Pengelolaan Pelayanan Kesehatan Lingkungan </t>
  </si>
  <si>
    <t>Pengelolaan Pelayanan Kesehatan Lingkungan (Puskesmas Janti)</t>
  </si>
  <si>
    <t>Pengelolaan Pelayanan Kesehatan Lingkungan (Puskesmas Dinoyo)</t>
  </si>
  <si>
    <t>4 Dokumen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</si>
  <si>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</si>
  <si>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</si>
  <si>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</si>
  <si>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</si>
  <si>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 xml:space="preserve">12 Dokumen
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</si>
  <si>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</si>
  <si>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</si>
  <si>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</si>
  <si>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</si>
  <si>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</si>
  <si>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</si>
  <si>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</si>
  <si>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</si>
  <si>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</si>
  <si>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</si>
  <si>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</si>
  <si>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</si>
  <si>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2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</si>
  <si>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</si>
  <si>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</si>
  <si>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</si>
  <si>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</si>
  <si>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</si>
  <si>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</si>
  <si>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</si>
  <si>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</si>
  <si>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</si>
  <si>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>64 Dokumen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</si>
  <si>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</si>
  <si>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</si>
  <si>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</si>
  <si>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</si>
  <si>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</si>
  <si>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</si>
  <si>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</si>
  <si>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</si>
  <si>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</si>
  <si>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</si>
  <si>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</si>
  <si>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</si>
  <si>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</si>
  <si>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</si>
  <si>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</si>
  <si>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</si>
  <si>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</si>
  <si>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</si>
  <si>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</si>
  <si>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</si>
  <si>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</si>
  <si>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</si>
  <si>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</si>
  <si>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</si>
  <si>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</si>
  <si>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</si>
  <si>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</si>
  <si>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</si>
  <si>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</si>
  <si>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</si>
  <si>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</si>
  <si>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</si>
  <si>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</si>
  <si>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</si>
  <si>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</si>
  <si>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</si>
  <si>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</si>
  <si>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</si>
  <si>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</si>
  <si>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</si>
  <si>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</si>
  <si>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</si>
  <si>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</si>
  <si>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>51 Paket</t>
  </si>
  <si>
    <t>Penyelenggaraan Kabupaten/Kota Sehat</t>
  </si>
  <si>
    <t>Jumlah Dokumen Hasil Penyelenggaraan Kabupaten/Kota Sehat</t>
  </si>
  <si>
    <t>1 dokumen</t>
  </si>
  <si>
    <t xml:space="preserve">1 Dokumen
</t>
  </si>
  <si>
    <t>Operasional Pelayanan Rumah Sakit</t>
  </si>
  <si>
    <t>Jumlah Dokumen Operasional Pelayanan Rumah Sakit</t>
  </si>
  <si>
    <t>RSUD</t>
  </si>
  <si>
    <t>Operasional Pelayanan Puskesmas (Puskesmas Janti)</t>
  </si>
  <si>
    <t>Jumlah Dokumen Operasional Pelayanan Puskesmas</t>
  </si>
  <si>
    <t>12 dokumen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</si>
  <si>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</si>
  <si>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</si>
  <si>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</si>
  <si>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</si>
  <si>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</si>
  <si>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</si>
  <si>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</si>
  <si>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</si>
  <si>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</si>
  <si>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</si>
  <si>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</si>
  <si>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</si>
  <si>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</si>
  <si>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</si>
  <si>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</si>
  <si>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</si>
  <si>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</si>
  <si>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</si>
  <si>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</si>
  <si>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</si>
  <si>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</si>
  <si>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</si>
  <si>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</si>
  <si>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</si>
  <si>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 xml:space="preserve">6 Dokumen
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</si>
  <si>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</si>
  <si>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</si>
  <si>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</si>
  <si>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</si>
  <si>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</si>
  <si>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</si>
  <si>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</si>
  <si>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</si>
  <si>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</si>
  <si>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</si>
  <si>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</si>
  <si>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</si>
  <si>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 xml:space="preserve">12 Laporan
</t>
  </si>
  <si>
    <t>Investigasi Awal Kejadian Tidak Diharapkan (Kejadian Ikutan Pasca Imunisasi dan Pemberian Obat Massal) (Puskesmas Janti)</t>
  </si>
  <si>
    <t>12 Laporan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</si>
  <si>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</si>
  <si>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</si>
  <si>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</si>
  <si>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</si>
  <si>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</si>
  <si>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</si>
  <si>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</si>
  <si>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</si>
  <si>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</si>
  <si>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</si>
  <si>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</si>
  <si>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>2 Laporan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</si>
  <si>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</si>
  <si>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</si>
  <si>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</si>
  <si>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</si>
  <si>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24 dokumen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</si>
  <si>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</si>
  <si>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</si>
  <si>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1 unit</t>
  </si>
  <si>
    <t>Pengelolaan pelayanan kesehatan orang dengan Tuberkulosis (Dinas Kesehatan)</t>
  </si>
  <si>
    <t xml:space="preserve">Jumlah orang dengan Tuberkulosis yang mendapatkan pelayanan kesehatan sesuai standar </t>
  </si>
  <si>
    <t>3.142 orang</t>
  </si>
  <si>
    <t xml:space="preserve">3142 Orang
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</si>
  <si>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</si>
  <si>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</si>
  <si>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</si>
  <si>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</si>
  <si>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</si>
  <si>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</si>
  <si>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</si>
  <si>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</si>
  <si>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</si>
  <si>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</si>
  <si>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>76 Orang</t>
  </si>
  <si>
    <t>Pengelolaan pelayanan kesehatan orang dengan Tuberkulosis (Puskesmas Bareng)</t>
  </si>
  <si>
    <t>28 Orang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</si>
  <si>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</si>
  <si>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</si>
  <si>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</si>
  <si>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</si>
  <si>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</si>
  <si>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</si>
  <si>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</si>
  <si>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</si>
  <si>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>242 Orang</t>
  </si>
  <si>
    <t>Pengelolaan pelayanan kesehatan orang dengan Tuberkulosis (Puskesmas Ciptomulyo)</t>
  </si>
  <si>
    <t>50 Orang</t>
  </si>
  <si>
    <t>Pengelolaan pelayanan kesehatan orang dengan Tuberkulosis (Puskesmas Kendalkerep)</t>
  </si>
  <si>
    <t>60 Orang</t>
  </si>
  <si>
    <t>Pengelolaan pelayanan kesehatan orang dengan Tuberkulosis (Puskesmas Pandanwangi)</t>
  </si>
  <si>
    <t>75 Orang</t>
  </si>
  <si>
    <t>Pengelolaan pelayanan kesehatan orang dengan Tuberkulosis (Puskesmas Polowijen)</t>
  </si>
  <si>
    <t>129 Orang</t>
  </si>
  <si>
    <t>Pengelolaan pelayanan kesehatan orang dengan Tuberkulosis (Puskesmas Cisadea)</t>
  </si>
  <si>
    <t>128 Orang</t>
  </si>
  <si>
    <t>Pengelolaan pelayanan kesehatan orang dengan HIV (ODHIV) (Dinas Kesehatan)</t>
  </si>
  <si>
    <t xml:space="preserve">Jumlah orang dengan HIV (ODHIV) yang mendapatkan pelayanan kesehatan sesuai standar </t>
  </si>
  <si>
    <t>387 orang</t>
  </si>
  <si>
    <t>1600 Orang</t>
  </si>
  <si>
    <t>Pengelolaan pelayanan kesehatan orang dengan HIV (ODHIV) (Puskesmas Janti)</t>
  </si>
  <si>
    <t>4 Orang</t>
  </si>
  <si>
    <t>Pengelolaan pelayanan kesehatan orang dengan HIV (ODHIV) (Puskesmas Kedungkandang)</t>
  </si>
  <si>
    <t>2 Orang</t>
  </si>
  <si>
    <t>Pengelolaan pelayanan kesehatan orang dengan HIV (ODHIV) (Puskesmas Arjowinangun)</t>
  </si>
  <si>
    <t>Jumlah orang dengan HIV (ODHIV) yang mendapatkan pelayanan kesehatan sesuai standar</t>
  </si>
  <si>
    <t xml:space="preserve">9 Orang
</t>
  </si>
  <si>
    <t>Pengelolaan pelayanan kesehatan orang dengan HIV (ODHIV) (Puskesmas Mulyorejo)</t>
  </si>
  <si>
    <t>30 Orang</t>
  </si>
  <si>
    <t>Pengelolaan pelayanan kesehatan orang dengan HIV (ODHIV) (Puskesmas Ciptomulyo)</t>
  </si>
  <si>
    <t>5 Orang</t>
  </si>
  <si>
    <t>Pengelolaan pelayanan kesehatan orang dengan HIV (ODHIV) (Puskesmas Kendalkerep)</t>
  </si>
  <si>
    <t>Pengelolaan pelayanan kesehatan orang dengan HIV (ODHIV) (Puskesmas Pandanwangi)</t>
  </si>
  <si>
    <t>Pengelolaan pelayanan kesehatan orang dengan HIV (ODHIV) (Puskesmas Polowijen)</t>
  </si>
  <si>
    <t>8 Orang</t>
  </si>
  <si>
    <t>Pengelolaan pelayanan kesehatan Malaria</t>
  </si>
  <si>
    <t>Jumlah orang yang mendapatkan pelayanan kesehatan malaria</t>
  </si>
  <si>
    <t>10 orang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</si>
  <si>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</si>
  <si>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</si>
  <si>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</si>
  <si>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</si>
  <si>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</si>
  <si>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</si>
  <si>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</si>
  <si>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</si>
  <si>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</si>
  <si>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</si>
  <si>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</si>
  <si>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</si>
  <si>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</si>
  <si>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</si>
  <si>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</si>
  <si>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</si>
  <si>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</si>
  <si>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</si>
  <si>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</si>
  <si>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</si>
  <si>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</si>
  <si>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</si>
  <si>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</si>
  <si>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</si>
  <si>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</si>
  <si>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</si>
  <si>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</si>
  <si>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</si>
  <si>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</si>
  <si>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</si>
  <si>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</si>
  <si>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</si>
  <si>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</si>
  <si>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</si>
  <si>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</si>
  <si>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Penyelenggaraan Sistem Informasi Kesehatan</t>
  </si>
  <si>
    <t xml:space="preserve">Persentase puskesmas yang menggunakan sistem informasi puskesmas 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</si>
  <si>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</si>
  <si>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</si>
  <si>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</si>
  <si>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</si>
  <si>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</si>
  <si>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</si>
  <si>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</si>
  <si>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</si>
  <si>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</si>
  <si>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</si>
  <si>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</si>
  <si>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</si>
  <si>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</si>
  <si>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</si>
  <si>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</si>
  <si>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</si>
  <si>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</si>
  <si>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</si>
  <si>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</si>
  <si>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</si>
  <si>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</si>
  <si>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</si>
  <si>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</si>
  <si>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>65 unit</t>
  </si>
  <si>
    <t xml:space="preserve">65 Unit
</t>
  </si>
  <si>
    <t>Rata-rata capaian kinerja (%)</t>
  </si>
  <si>
    <t>Predikat Kinerja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</si>
  <si>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</si>
  <si>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</si>
  <si>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</si>
  <si>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</si>
  <si>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</si>
  <si>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</si>
  <si>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</si>
  <si>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</si>
  <si>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</si>
  <si>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</si>
  <si>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</si>
  <si>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</si>
  <si>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</si>
  <si>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</si>
  <si>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</si>
  <si>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>386 orang</t>
  </si>
  <si>
    <t>163 Orang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</si>
  <si>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</si>
  <si>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</si>
  <si>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</si>
  <si>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</si>
  <si>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</si>
  <si>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</si>
  <si>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</si>
  <si>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</si>
  <si>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</si>
  <si>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</si>
  <si>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</si>
  <si>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 xml:space="preserve">240 Dokumen
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</si>
  <si>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</si>
  <si>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</si>
  <si>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</si>
  <si>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</si>
  <si>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60 unit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</si>
  <si>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</si>
  <si>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</si>
  <si>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</si>
  <si>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</si>
  <si>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</si>
  <si>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</si>
  <si>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</si>
  <si>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</si>
  <si>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</si>
  <si>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</si>
  <si>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</si>
  <si>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</si>
  <si>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</si>
  <si>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43986  keluarga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</si>
  <si>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</si>
  <si>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</si>
  <si>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</si>
  <si>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</si>
  <si>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</si>
  <si>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</si>
  <si>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</si>
  <si>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</si>
  <si>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</si>
  <si>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</si>
  <si>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</si>
  <si>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</si>
  <si>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3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</si>
  <si>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</si>
  <si>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</si>
  <si>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</si>
  <si>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</si>
  <si>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>7 Dokumen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</si>
  <si>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</si>
  <si>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</si>
  <si>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>3 Dokumen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</si>
  <si>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</si>
  <si>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</si>
  <si>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</si>
  <si>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Meningkatnya kinerja Perangkat Daerah</t>
  </si>
  <si>
    <t>Nilai SAKIP Perangkat Daerah</t>
  </si>
  <si>
    <t>-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</si>
  <si>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</si>
  <si>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</si>
  <si>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</si>
  <si>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</si>
  <si>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</si>
  <si>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</si>
  <si>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</si>
  <si>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</si>
  <si>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</si>
  <si>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</si>
  <si>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</si>
  <si>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</si>
  <si>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</si>
  <si>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</si>
  <si>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 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</si>
  <si>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</si>
  <si>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</si>
  <si>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</si>
  <si>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</si>
  <si>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</si>
  <si>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</si>
  <si>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</si>
  <si>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>5 Dokumen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</si>
  <si>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</si>
  <si>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</si>
  <si>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</si>
  <si>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</si>
  <si>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>Persentase pegawai yang terfasilitasi layanan kepegawaian</t>
  </si>
  <si>
    <t>Pendidikan dan Pelatihan Pegawai Berdasarkan Tugas dan Fungsi</t>
  </si>
  <si>
    <t>Jumlah Pegawai Berdasarkan Tugas dan Fungsi yang Mengikuti Pendidikan dan Pelatihan</t>
  </si>
  <si>
    <t>70 Orang</t>
  </si>
  <si>
    <t xml:space="preserve">Administrasi Umum Perangkat Daerah </t>
  </si>
  <si>
    <t>Persentase kebutuhan kantor yang  terfasilitasi</t>
  </si>
  <si>
    <t>Penyediaan Komponen Instalasi Listrik/Penerangan Bangunan Kantor</t>
  </si>
  <si>
    <t>Jumlah Paket Komponen Instalasi Listrik/Penerangan Bangunan Kantor yang Disediakan</t>
  </si>
  <si>
    <t xml:space="preserve">1 Paket
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</si>
  <si>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</si>
  <si>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</si>
  <si>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</si>
  <si>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</si>
  <si>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</si>
  <si>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</si>
  <si>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</si>
  <si>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</si>
  <si>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</si>
  <si>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</si>
  <si>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</si>
  <si>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>884 Laporan</t>
  </si>
  <si>
    <t>Pengadaan Barang Milik Daerah Penunjang Urusan Pemerintah Daerah</t>
  </si>
  <si>
    <t>Persentase pengadaan barang milik daerah sesuai RKBMD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</si>
  <si>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</si>
  <si>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</si>
  <si>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</si>
  <si>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</si>
  <si>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</si>
  <si>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</si>
  <si>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</si>
  <si>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</si>
  <si>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</si>
  <si>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</si>
  <si>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Persentase barang milik daerah yang terpelihara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</si>
  <si>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</si>
  <si>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</si>
  <si>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</si>
  <si>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</si>
  <si>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</si>
  <si>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15 Unit</t>
  </si>
  <si>
    <t>Pemeliharaan/Rehabilitasi Gedung Kantor dan Bangunan Lainnya</t>
  </si>
  <si>
    <t>Jumlah Gedung Kantor dan Bangunan Lainnya yang Dipelihara /Direhabilitasi</t>
  </si>
  <si>
    <t>3 Unit</t>
  </si>
  <si>
    <t>Pemeliharaan/Rehabilitasi Sarana dan Prasarana Gedung Kantor atau Bangunan Lainnya</t>
  </si>
  <si>
    <t>Jumlah Sarana dan Prasarana Gedung Kantor atau Bangunan Lainnya yang Dipelihara /Direhabilitasi</t>
  </si>
  <si>
    <t xml:space="preserve">85 Unit
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</si>
  <si>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</si>
  <si>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</si>
  <si>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</si>
  <si>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</si>
  <si>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</si>
  <si>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</si>
  <si>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</si>
  <si>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</si>
  <si>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</si>
  <si>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</si>
  <si>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</si>
  <si>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</si>
  <si>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</si>
  <si>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</si>
  <si>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</si>
  <si>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</si>
  <si>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</si>
  <si>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</si>
  <si>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</si>
  <si>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</si>
  <si>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</si>
  <si>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</si>
  <si>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</si>
  <si>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>Rata-rata capaian kinerja program (%)</t>
  </si>
  <si>
    <t xml:space="preserve">Predikat Kinerja Program </t>
  </si>
  <si>
    <t>Faktor Pendukung Keberhasilan Kinerja :</t>
  </si>
  <si>
    <t>Faktor Penghambat Pencapaian Kinerja :</t>
  </si>
  <si>
    <t>Tindak Lanjut yang Diperlukan Dalam Triwulan  Berikutnya :</t>
  </si>
  <si>
    <t>Tindak Lanjut yang Diperlukan Dalam Renja Perangkat Daerah Tahun Berikutnya :</t>
  </si>
  <si>
    <t>Disusun</t>
  </si>
  <si>
    <t>Dievaluasi</t>
  </si>
  <si>
    <t>Malang,  4 Januari 2025</t>
  </si>
  <si>
    <t xml:space="preserve">KEPALA DINAS KESEHATAN </t>
  </si>
  <si>
    <t>KEPALA PUSKESMAS BARENG</t>
  </si>
  <si>
    <t>KOTA MALANG</t>
  </si>
  <si>
    <t>KOTA MALANG,</t>
  </si>
  <si>
    <t>drg. DINNA INDARTI</t>
  </si>
  <si>
    <t>Pembina</t>
  </si>
  <si>
    <t>NIP. 19780717 201001 2 012</t>
  </si>
  <si>
    <t>PROGRAM</t>
  </si>
  <si>
    <t>PAGU</t>
  </si>
  <si>
    <t>REALISASI</t>
  </si>
  <si>
    <t>%</t>
  </si>
  <si>
    <t>TOTAL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</si>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</sst>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Rp&quot;#,##0;[Red]\-&quot;Rp&quot;#,##0"/>
    <numFmt numFmtId="8" formatCode="&quot;Rp&quot;#,##0.00;[Red]\-&quot;Rp&quot;#,##0.00"/>
    <numFmt numFmtId="164" formatCode="_-* #,##0.00_-;\-* #,##0.00_-;_-* &quot;-&quot;??_-;_-@"/>
    <numFmt numFmtId="165" formatCode="0.000"/>
    <numFmt numFmtId="166" formatCode="_(* #,##0.00_);_(* \(#,##0.00\);_(* &quot;-&quot;_);_(@_)"/>
    <numFmt numFmtId="167" formatCode="_(* #,##0_);_(* \(#,##0\);_(* &quot;-&quot;_);_(@_)"/>
    <numFmt numFmtId="168" formatCode="_(* #,##0.00_);_(* \(#,##0.00\);_(* &quot;-&quot;??_);_(@_)"/>
    <numFmt numFmtId="169" formatCode="_(* #,##0_);_(* \(#,##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_-* #,##0_-;\-* #,##0_-;_-* &quot;-&quot;??_-;_-@"/>
  </numFmts>
  <fonts count="19">
    <font>
      <sz val="11"/>
      <color rgb="FF000000"/>
      <name val="Calibri"/>
      <scheme val="minor"/>
    </font>
    <font>
      <b/>
      <sz val="14"/>
      <color theme="1"/>
      <name val="Arial"/>
    </font>
    <font>
      <sz val="11"/>
      <name val="Calibri"/>
    </font>
    <font>
      <b/>
      <sz val="11"/>
      <color theme="1"/>
      <name val="Arial"/>
    </font>
    <font>
      <b/>
      <sz val="12"/>
      <color rgb="FF000000"/>
      <name val="Arial Black"/>
    </font>
    <font>
      <sz val="11"/>
      <color theme="1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1"/>
      <color theme="1"/>
      <name val="Calibri"/>
    </font>
    <font>
      <sz val="10"/>
      <color rgb="FF000000"/>
      <name val="Arial"/>
    </font>
    <font>
      <sz val="11"/>
      <color rgb="FFFF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theme="0"/>
      <name val="Arial"/>
    </font>
    <font>
      <b/>
      <u/>
      <sz val="11"/>
      <color theme="1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top" wrapText="1"/>
    </xf>
    <xf numFmtId="9" fontId="6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vertical="top" wrapText="1"/>
    </xf>
    <xf numFmtId="165" fontId="7" fillId="0" borderId="16" xfId="0" applyNumberFormat="1" applyFont="1" applyBorder="1" applyAlignment="1">
      <alignment horizontal="center" vertical="top" wrapText="1"/>
    </xf>
    <xf numFmtId="10" fontId="7" fillId="3" borderId="16" xfId="0" applyNumberFormat="1" applyFont="1" applyFill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 vertical="top" wrapText="1"/>
    </xf>
    <xf numFmtId="165" fontId="7" fillId="4" borderId="16" xfId="0" applyNumberFormat="1" applyFont="1" applyFill="1" applyBorder="1" applyAlignment="1">
      <alignment horizontal="center" vertical="top" wrapText="1"/>
    </xf>
    <xf numFmtId="164" fontId="9" fillId="0" borderId="16" xfId="0" applyNumberFormat="1" applyFont="1" applyBorder="1" applyAlignment="1">
      <alignment vertical="top" wrapText="1"/>
    </xf>
    <xf numFmtId="10" fontId="7" fillId="0" borderId="9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9" fontId="7" fillId="0" borderId="16" xfId="0" applyNumberFormat="1" applyFont="1" applyBorder="1" applyAlignment="1">
      <alignment horizontal="center" vertical="top" wrapText="1"/>
    </xf>
    <xf numFmtId="10" fontId="7" fillId="4" borderId="17" xfId="0" applyNumberFormat="1" applyFont="1" applyFill="1" applyBorder="1" applyAlignment="1">
      <alignment horizontal="center" vertical="top" wrapText="1"/>
    </xf>
    <xf numFmtId="10" fontId="9" fillId="0" borderId="16" xfId="0" applyNumberFormat="1" applyFont="1" applyBorder="1" applyAlignment="1">
      <alignment horizontal="center" vertical="top" wrapText="1"/>
    </xf>
    <xf numFmtId="4" fontId="7" fillId="0" borderId="16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10" fontId="7" fillId="4" borderId="16" xfId="0" applyNumberFormat="1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 wrapText="1"/>
    </xf>
    <xf numFmtId="9" fontId="11" fillId="0" borderId="16" xfId="0" applyNumberFormat="1" applyFont="1" applyBorder="1" applyAlignment="1">
      <alignment horizontal="center" vertical="top" wrapText="1"/>
    </xf>
    <xf numFmtId="0" fontId="12" fillId="0" borderId="16" xfId="0" applyFont="1" applyBorder="1" applyAlignment="1">
      <alignment vertical="top" wrapText="1"/>
    </xf>
    <xf numFmtId="10" fontId="11" fillId="0" borderId="16" xfId="0" applyNumberFormat="1" applyFont="1" applyBorder="1" applyAlignment="1">
      <alignment horizontal="center" vertical="top" wrapText="1"/>
    </xf>
    <xf numFmtId="164" fontId="11" fillId="0" borderId="16" xfId="0" applyNumberFormat="1" applyFont="1" applyBorder="1" applyAlignment="1">
      <alignment vertical="top" wrapText="1"/>
    </xf>
    <xf numFmtId="10" fontId="11" fillId="0" borderId="9" xfId="0" applyNumberFormat="1" applyFont="1" applyBorder="1" applyAlignment="1">
      <alignment horizontal="center" vertical="top" wrapText="1"/>
    </xf>
    <xf numFmtId="0" fontId="9" fillId="0" borderId="15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left" vertical="top" wrapText="1"/>
    </xf>
    <xf numFmtId="4" fontId="9" fillId="0" borderId="16" xfId="0" applyNumberFormat="1" applyFont="1" applyBorder="1" applyAlignment="1">
      <alignment vertical="top" wrapText="1"/>
    </xf>
    <xf numFmtId="166" fontId="9" fillId="0" borderId="16" xfId="0" applyNumberFormat="1" applyFont="1" applyBorder="1" applyAlignment="1">
      <alignment vertical="top"/>
    </xf>
    <xf numFmtId="166" fontId="13" fillId="0" borderId="16" xfId="0" applyNumberFormat="1" applyFont="1" applyBorder="1" applyAlignment="1">
      <alignment vertical="top"/>
    </xf>
    <xf numFmtId="9" fontId="7" fillId="3" borderId="16" xfId="0" applyNumberFormat="1" applyFont="1" applyFill="1" applyBorder="1" applyAlignment="1">
      <alignment horizontal="center" vertical="top" wrapText="1"/>
    </xf>
    <xf numFmtId="10" fontId="10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9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49" fontId="12" fillId="0" borderId="15" xfId="0" applyNumberFormat="1" applyFont="1" applyBorder="1" applyAlignment="1">
      <alignment horizontal="left" vertical="top" wrapText="1"/>
    </xf>
    <xf numFmtId="4" fontId="9" fillId="0" borderId="4" xfId="0" applyNumberFormat="1" applyFont="1" applyBorder="1" applyAlignment="1">
      <alignment horizontal="right" vertical="top" wrapText="1"/>
    </xf>
    <xf numFmtId="168" fontId="12" fillId="0" borderId="16" xfId="0" applyNumberFormat="1" applyFont="1" applyBorder="1" applyAlignment="1">
      <alignment horizontal="right" vertical="top" wrapText="1"/>
    </xf>
    <xf numFmtId="39" fontId="9" fillId="0" borderId="16" xfId="0" applyNumberFormat="1" applyFont="1" applyBorder="1" applyAlignment="1">
      <alignment vertical="top"/>
    </xf>
    <xf numFmtId="0" fontId="9" fillId="3" borderId="16" xfId="0" applyFont="1" applyFill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right" vertical="top" wrapText="1"/>
    </xf>
    <xf numFmtId="9" fontId="7" fillId="4" borderId="16" xfId="0" applyNumberFormat="1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right" vertical="top" wrapText="1"/>
    </xf>
    <xf numFmtId="49" fontId="12" fillId="0" borderId="10" xfId="0" applyNumberFormat="1" applyFont="1" applyBorder="1" applyAlignment="1">
      <alignment horizontal="left" vertical="top" wrapText="1"/>
    </xf>
    <xf numFmtId="169" fontId="9" fillId="0" borderId="9" xfId="0" applyNumberFormat="1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/>
    </xf>
    <xf numFmtId="170" fontId="12" fillId="0" borderId="16" xfId="0" applyNumberFormat="1" applyFont="1" applyBorder="1" applyAlignment="1">
      <alignment horizontal="right" vertical="top" wrapText="1"/>
    </xf>
    <xf numFmtId="168" fontId="9" fillId="0" borderId="16" xfId="0" applyNumberFormat="1" applyFont="1" applyBorder="1" applyAlignment="1">
      <alignment horizontal="center" vertical="top" wrapText="1"/>
    </xf>
    <xf numFmtId="3" fontId="9" fillId="0" borderId="9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0" fontId="9" fillId="3" borderId="17" xfId="0" applyFont="1" applyFill="1" applyBorder="1" applyAlignment="1">
      <alignment horizontal="center" vertical="top" wrapText="1"/>
    </xf>
    <xf numFmtId="10" fontId="7" fillId="4" borderId="16" xfId="0" applyNumberFormat="1" applyFont="1" applyFill="1" applyBorder="1" applyAlignment="1">
      <alignment horizontal="center" vertical="top"/>
    </xf>
    <xf numFmtId="168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8" fontId="9" fillId="0" borderId="9" xfId="0" applyNumberFormat="1" applyFont="1" applyBorder="1" applyAlignment="1">
      <alignment horizontal="center" vertical="top" wrapText="1"/>
    </xf>
    <xf numFmtId="167" fontId="9" fillId="0" borderId="16" xfId="0" applyNumberFormat="1" applyFont="1" applyBorder="1" applyAlignment="1">
      <alignment vertical="top"/>
    </xf>
    <xf numFmtId="169" fontId="9" fillId="0" borderId="16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left" vertical="top" wrapText="1"/>
    </xf>
    <xf numFmtId="169" fontId="9" fillId="0" borderId="16" xfId="0" applyNumberFormat="1" applyFont="1" applyBorder="1" applyAlignment="1">
      <alignment horizontal="right" vertical="top" wrapText="1"/>
    </xf>
    <xf numFmtId="10" fontId="7" fillId="3" borderId="17" xfId="0" applyNumberFormat="1" applyFont="1" applyFill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right" vertical="top" wrapText="1"/>
    </xf>
    <xf numFmtId="167" fontId="12" fillId="0" borderId="16" xfId="0" applyNumberFormat="1" applyFont="1" applyBorder="1" applyAlignment="1">
      <alignment horizontal="center" vertical="top" wrapText="1"/>
    </xf>
    <xf numFmtId="168" fontId="9" fillId="0" borderId="16" xfId="0" applyNumberFormat="1" applyFont="1" applyBorder="1" applyAlignment="1">
      <alignment horizontal="right" vertical="top" wrapText="1"/>
    </xf>
    <xf numFmtId="167" fontId="9" fillId="0" borderId="16" xfId="0" applyNumberFormat="1" applyFont="1" applyBorder="1" applyAlignment="1">
      <alignment horizontal="center" vertical="top" wrapText="1"/>
    </xf>
    <xf numFmtId="2" fontId="12" fillId="0" borderId="16" xfId="0" applyNumberFormat="1" applyFont="1" applyBorder="1" applyAlignment="1">
      <alignment horizontal="right" vertical="top" wrapText="1"/>
    </xf>
    <xf numFmtId="166" fontId="9" fillId="0" borderId="16" xfId="0" applyNumberFormat="1" applyFont="1" applyBorder="1" applyAlignment="1">
      <alignment vertical="top" wrapText="1"/>
    </xf>
    <xf numFmtId="10" fontId="11" fillId="4" borderId="17" xfId="0" applyNumberFormat="1" applyFont="1" applyFill="1" applyBorder="1" applyAlignment="1">
      <alignment horizontal="center" vertical="top" wrapText="1"/>
    </xf>
    <xf numFmtId="10" fontId="11" fillId="4" borderId="16" xfId="0" applyNumberFormat="1" applyFont="1" applyFill="1" applyBorder="1" applyAlignment="1">
      <alignment horizontal="center" vertical="top" wrapText="1"/>
    </xf>
    <xf numFmtId="167" fontId="9" fillId="3" borderId="16" xfId="0" applyNumberFormat="1" applyFont="1" applyFill="1" applyBorder="1" applyAlignment="1">
      <alignment horizontal="center" vertical="top" wrapText="1"/>
    </xf>
    <xf numFmtId="167" fontId="9" fillId="5" borderId="16" xfId="0" applyNumberFormat="1" applyFont="1" applyFill="1" applyBorder="1" applyAlignment="1">
      <alignment horizontal="center" vertical="top" wrapText="1"/>
    </xf>
    <xf numFmtId="167" fontId="9" fillId="4" borderId="16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9" fillId="5" borderId="16" xfId="0" applyFont="1" applyFill="1" applyBorder="1" applyAlignment="1">
      <alignment horizontal="center" vertical="top" wrapText="1"/>
    </xf>
    <xf numFmtId="171" fontId="12" fillId="0" borderId="16" xfId="0" applyNumberFormat="1" applyFont="1" applyBorder="1" applyAlignment="1">
      <alignment horizontal="right" vertical="top" wrapText="1"/>
    </xf>
    <xf numFmtId="3" fontId="9" fillId="0" borderId="16" xfId="0" applyNumberFormat="1" applyFont="1" applyBorder="1" applyAlignment="1">
      <alignment horizontal="center" vertical="top" wrapText="1"/>
    </xf>
    <xf numFmtId="3" fontId="9" fillId="4" borderId="16" xfId="0" applyNumberFormat="1" applyFont="1" applyFill="1" applyBorder="1" applyAlignment="1">
      <alignment horizontal="center" vertical="top"/>
    </xf>
    <xf numFmtId="168" fontId="10" fillId="0" borderId="0" xfId="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49" fontId="11" fillId="0" borderId="16" xfId="0" applyNumberFormat="1" applyFont="1" applyBorder="1" applyAlignment="1">
      <alignment horizontal="left" vertical="top" wrapText="1"/>
    </xf>
    <xf numFmtId="39" fontId="10" fillId="0" borderId="0" xfId="0" applyNumberFormat="1" applyFont="1" applyAlignment="1">
      <alignment vertical="center"/>
    </xf>
    <xf numFmtId="49" fontId="12" fillId="0" borderId="4" xfId="0" applyNumberFormat="1" applyFont="1" applyBorder="1" applyAlignment="1">
      <alignment horizontal="left" vertical="top" wrapText="1"/>
    </xf>
    <xf numFmtId="167" fontId="13" fillId="0" borderId="7" xfId="0" applyNumberFormat="1" applyFont="1" applyBorder="1" applyAlignment="1">
      <alignment vertical="top"/>
    </xf>
    <xf numFmtId="167" fontId="13" fillId="0" borderId="16" xfId="0" applyNumberFormat="1" applyFont="1" applyBorder="1" applyAlignment="1">
      <alignment vertical="top"/>
    </xf>
    <xf numFmtId="49" fontId="11" fillId="0" borderId="14" xfId="0" applyNumberFormat="1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49" fontId="12" fillId="0" borderId="14" xfId="0" applyNumberFormat="1" applyFont="1" applyBorder="1" applyAlignment="1">
      <alignment horizontal="left" vertical="top" wrapText="1"/>
    </xf>
    <xf numFmtId="168" fontId="11" fillId="0" borderId="10" xfId="0" applyNumberFormat="1" applyFont="1" applyBorder="1" applyAlignment="1">
      <alignment horizontal="right" vertical="top" wrapText="1"/>
    </xf>
    <xf numFmtId="10" fontId="7" fillId="0" borderId="10" xfId="0" applyNumberFormat="1" applyFont="1" applyBorder="1" applyAlignment="1">
      <alignment horizontal="center" vertical="top" wrapText="1"/>
    </xf>
    <xf numFmtId="168" fontId="11" fillId="0" borderId="16" xfId="0" applyNumberFormat="1" applyFont="1" applyBorder="1" applyAlignment="1">
      <alignment horizontal="right" vertical="top" wrapText="1"/>
    </xf>
    <xf numFmtId="9" fontId="9" fillId="0" borderId="16" xfId="0" applyNumberFormat="1" applyFont="1" applyBorder="1" applyAlignment="1">
      <alignment horizontal="center" vertical="top" wrapText="1"/>
    </xf>
    <xf numFmtId="168" fontId="11" fillId="0" borderId="9" xfId="0" applyNumberFormat="1" applyFont="1" applyBorder="1" applyAlignment="1">
      <alignment horizontal="right" vertical="top" wrapText="1"/>
    </xf>
    <xf numFmtId="49" fontId="11" fillId="0" borderId="10" xfId="0" applyNumberFormat="1" applyFont="1" applyBorder="1" applyAlignment="1">
      <alignment horizontal="left" vertical="top" wrapText="1"/>
    </xf>
    <xf numFmtId="168" fontId="12" fillId="0" borderId="10" xfId="0" applyNumberFormat="1" applyFont="1" applyBorder="1" applyAlignment="1">
      <alignment horizontal="right" vertical="top" wrapText="1"/>
    </xf>
    <xf numFmtId="0" fontId="8" fillId="0" borderId="16" xfId="0" applyFont="1" applyBorder="1" applyAlignment="1">
      <alignment vertical="center"/>
    </xf>
    <xf numFmtId="164" fontId="7" fillId="0" borderId="15" xfId="0" applyNumberFormat="1" applyFont="1" applyBorder="1" applyAlignment="1">
      <alignment horizontal="left" vertical="top" wrapText="1"/>
    </xf>
    <xf numFmtId="9" fontId="9" fillId="0" borderId="9" xfId="0" applyNumberFormat="1" applyFont="1" applyBorder="1" applyAlignment="1">
      <alignment horizontal="center" vertical="top" wrapText="1"/>
    </xf>
    <xf numFmtId="0" fontId="9" fillId="0" borderId="9" xfId="0" quotePrefix="1" applyFont="1" applyBorder="1" applyAlignment="1">
      <alignment horizontal="center" vertical="top" wrapText="1"/>
    </xf>
    <xf numFmtId="9" fontId="7" fillId="0" borderId="9" xfId="0" applyNumberFormat="1" applyFont="1" applyBorder="1" applyAlignment="1">
      <alignment horizontal="center" vertical="top" wrapText="1"/>
    </xf>
    <xf numFmtId="166" fontId="9" fillId="0" borderId="0" xfId="0" applyNumberFormat="1" applyFont="1" applyAlignment="1">
      <alignment vertical="top"/>
    </xf>
    <xf numFmtId="0" fontId="9" fillId="0" borderId="16" xfId="0" applyFont="1" applyBorder="1" applyAlignment="1">
      <alignment horizontal="center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7" fillId="0" borderId="16" xfId="0" applyFont="1" applyBorder="1" applyAlignment="1">
      <alignment horizontal="right" vertical="top"/>
    </xf>
    <xf numFmtId="10" fontId="7" fillId="0" borderId="16" xfId="0" applyNumberFormat="1" applyFont="1" applyBorder="1" applyAlignment="1">
      <alignment horizontal="center" vertical="top"/>
    </xf>
    <xf numFmtId="0" fontId="9" fillId="0" borderId="13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center" vertical="center"/>
    </xf>
    <xf numFmtId="167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167" fontId="5" fillId="2" borderId="3" xfId="0" applyNumberFormat="1" applyFont="1" applyFill="1" applyBorder="1"/>
    <xf numFmtId="0" fontId="1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172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6" fontId="10" fillId="0" borderId="0" xfId="0" applyNumberFormat="1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1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 wrapText="1"/>
    </xf>
    <xf numFmtId="4" fontId="13" fillId="0" borderId="0" xfId="0" applyNumberFormat="1" applyFont="1" applyAlignment="1">
      <alignment vertical="top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0" fontId="1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2" fillId="0" borderId="19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top"/>
    </xf>
    <xf numFmtId="164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/>
    </xf>
    <xf numFmtId="167" fontId="5" fillId="2" borderId="1" xfId="0" applyNumberFormat="1" applyFont="1" applyFill="1" applyBorder="1" applyAlignment="1">
      <alignment horizontal="center" vertical="center"/>
    </xf>
    <xf numFmtId="168" fontId="12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/>
    <xf numFmtId="0" fontId="9" fillId="0" borderId="1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1000"/>
  <sheetViews>
    <sheetView tabSelected="1" topLeftCell="H11" zoomScale="89" workbookViewId="0">
      <selection activeCell="G466" sqref="G466:J475"/>
    </sheetView>
  </sheetViews>
  <sheetFormatPr defaultColWidth="14.453125" defaultRowHeight="15" customHeight="1"/>
  <cols>
    <col min="1" max="1" width="5.26953125" customWidth="1"/>
    <col min="2" max="2" width="24" customWidth="1"/>
    <col min="3" max="3" width="23.26953125" customWidth="1"/>
    <col min="4" max="4" width="23.81640625" customWidth="1"/>
    <col min="5" max="5" width="7.453125" customWidth="1"/>
    <col min="6" max="6" width="18.54296875" customWidth="1"/>
    <col min="7" max="7" width="7.26953125" customWidth="1"/>
    <col min="8" max="8" width="10.54296875" customWidth="1"/>
    <col min="9" max="9" width="15" customWidth="1"/>
    <col min="10" max="10" width="20.453125" customWidth="1"/>
    <col min="11" max="11" width="13.54296875" customWidth="1"/>
    <col min="12" max="12" width="19.54296875" customWidth="1"/>
    <col min="13" max="13" width="12.81640625" customWidth="1"/>
    <col min="14" max="14" width="18.1796875" customWidth="1"/>
    <col min="15" max="15" width="11.7265625" customWidth="1"/>
    <col min="16" max="16" width="18" customWidth="1"/>
    <col min="17" max="17" width="11.54296875" customWidth="1"/>
    <col min="18" max="18" width="18.453125" customWidth="1"/>
    <col min="19" max="19" width="14.81640625" customWidth="1"/>
    <col min="20" max="20" width="18.1796875" customWidth="1"/>
    <col min="21" max="21" width="10.26953125" customWidth="1"/>
    <col min="22" max="22" width="15.54296875" customWidth="1"/>
    <col min="23" max="23" width="7.7265625" customWidth="1"/>
    <col min="24" max="24" width="8.453125" customWidth="1"/>
    <col min="25" max="25" width="7" customWidth="1"/>
    <col min="26" max="26" width="5.26953125" customWidth="1"/>
    <col min="27" max="27" width="16.81640625" customWidth="1"/>
    <col min="28" max="28" width="18.81640625" hidden="1" customWidth="1"/>
    <col min="29" max="29" width="17.7265625" hidden="1" customWidth="1"/>
    <col min="30" max="30" width="19.54296875" customWidth="1"/>
    <col min="31" max="31" width="18.1796875" customWidth="1"/>
  </cols>
  <sheetData>
    <row r="2" spans="1:30" ht="20.25" customHeight="1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30" ht="20.25" customHeight="1">
      <c r="A3" s="158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1:30" ht="20.25" customHeight="1">
      <c r="A4" s="158" t="s">
        <v>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</row>
    <row r="5" spans="1:30" ht="20.25" customHeight="1">
      <c r="A5" s="158" t="s">
        <v>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</row>
    <row r="6" spans="1:30" ht="9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0" ht="18">
      <c r="A7" s="3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9" spans="1:30" ht="69" customHeight="1">
      <c r="A9" s="151" t="s">
        <v>5</v>
      </c>
      <c r="B9" s="151" t="s">
        <v>6</v>
      </c>
      <c r="C9" s="160" t="s">
        <v>7</v>
      </c>
      <c r="D9" s="160" t="s">
        <v>8</v>
      </c>
      <c r="E9" s="161" t="s">
        <v>9</v>
      </c>
      <c r="F9" s="162"/>
      <c r="G9" s="161" t="s">
        <v>10</v>
      </c>
      <c r="H9" s="162"/>
      <c r="I9" s="161" t="s">
        <v>11</v>
      </c>
      <c r="J9" s="162"/>
      <c r="K9" s="156" t="s">
        <v>12</v>
      </c>
      <c r="L9" s="166"/>
      <c r="M9" s="166"/>
      <c r="N9" s="166"/>
      <c r="O9" s="166"/>
      <c r="P9" s="166"/>
      <c r="Q9" s="166"/>
      <c r="R9" s="157"/>
      <c r="S9" s="161" t="s">
        <v>13</v>
      </c>
      <c r="T9" s="162"/>
      <c r="U9" s="161" t="s">
        <v>14</v>
      </c>
      <c r="V9" s="162"/>
      <c r="W9" s="161" t="s">
        <v>15</v>
      </c>
      <c r="X9" s="162"/>
      <c r="Y9" s="161" t="s">
        <v>16</v>
      </c>
      <c r="Z9" s="162"/>
      <c r="AA9" s="160" t="s">
        <v>17</v>
      </c>
    </row>
    <row r="10" spans="1:30" ht="120" customHeight="1">
      <c r="A10" s="153"/>
      <c r="B10" s="153"/>
      <c r="C10" s="153"/>
      <c r="D10" s="153"/>
      <c r="E10" s="163"/>
      <c r="F10" s="155"/>
      <c r="G10" s="163"/>
      <c r="H10" s="155"/>
      <c r="I10" s="163"/>
      <c r="J10" s="155"/>
      <c r="K10" s="167" t="s">
        <v>18</v>
      </c>
      <c r="L10" s="162"/>
      <c r="M10" s="167" t="s">
        <v>19</v>
      </c>
      <c r="N10" s="162"/>
      <c r="O10" s="167" t="s">
        <v>20</v>
      </c>
      <c r="P10" s="162"/>
      <c r="Q10" s="167" t="s">
        <v>21</v>
      </c>
      <c r="R10" s="162"/>
      <c r="S10" s="164"/>
      <c r="T10" s="165"/>
      <c r="U10" s="164"/>
      <c r="V10" s="165"/>
      <c r="W10" s="164"/>
      <c r="X10" s="165"/>
      <c r="Y10" s="164"/>
      <c r="Z10" s="165"/>
      <c r="AA10" s="153"/>
    </row>
    <row r="11" spans="1:30" ht="14.5">
      <c r="A11" s="151">
        <v>1</v>
      </c>
      <c r="B11" s="151">
        <v>2</v>
      </c>
      <c r="C11" s="151">
        <v>3</v>
      </c>
      <c r="D11" s="154">
        <v>4</v>
      </c>
      <c r="E11" s="156">
        <v>5</v>
      </c>
      <c r="F11" s="157"/>
      <c r="G11" s="156">
        <v>6</v>
      </c>
      <c r="H11" s="157"/>
      <c r="I11" s="156">
        <v>7</v>
      </c>
      <c r="J11" s="157"/>
      <c r="K11" s="156">
        <v>8</v>
      </c>
      <c r="L11" s="157"/>
      <c r="M11" s="156">
        <v>9</v>
      </c>
      <c r="N11" s="157"/>
      <c r="O11" s="156">
        <v>10</v>
      </c>
      <c r="P11" s="157"/>
      <c r="Q11" s="156">
        <v>11</v>
      </c>
      <c r="R11" s="157"/>
      <c r="S11" s="156" t="s">
        <v>22</v>
      </c>
      <c r="T11" s="157"/>
      <c r="U11" s="156" t="s">
        <v>23</v>
      </c>
      <c r="V11" s="157"/>
      <c r="W11" s="156" t="s">
        <v>24</v>
      </c>
      <c r="X11" s="157"/>
      <c r="Y11" s="156" t="s">
        <v>25</v>
      </c>
      <c r="Z11" s="157"/>
      <c r="AA11" s="151">
        <v>16</v>
      </c>
    </row>
    <row r="12" spans="1:30" ht="14.5">
      <c r="A12" s="152"/>
      <c r="B12" s="152"/>
      <c r="C12" s="153"/>
      <c r="D12" s="155"/>
      <c r="E12" s="4" t="s">
        <v>26</v>
      </c>
      <c r="F12" s="4" t="s">
        <v>27</v>
      </c>
      <c r="G12" s="4" t="s">
        <v>26</v>
      </c>
      <c r="H12" s="4" t="s">
        <v>27</v>
      </c>
      <c r="I12" s="4" t="s">
        <v>26</v>
      </c>
      <c r="J12" s="4" t="s">
        <v>27</v>
      </c>
      <c r="K12" s="4" t="s">
        <v>26</v>
      </c>
      <c r="L12" s="4" t="s">
        <v>27</v>
      </c>
      <c r="M12" s="4" t="s">
        <v>26</v>
      </c>
      <c r="N12" s="4" t="s">
        <v>27</v>
      </c>
      <c r="O12" s="4" t="s">
        <v>26</v>
      </c>
      <c r="P12" s="4" t="s">
        <v>27</v>
      </c>
      <c r="Q12" s="4" t="s">
        <v>26</v>
      </c>
      <c r="R12" s="4" t="s">
        <v>27</v>
      </c>
      <c r="S12" s="5" t="s">
        <v>26</v>
      </c>
      <c r="T12" s="5" t="s">
        <v>27</v>
      </c>
      <c r="U12" s="5" t="s">
        <v>26</v>
      </c>
      <c r="V12" s="5" t="s">
        <v>27</v>
      </c>
      <c r="W12" s="5" t="s">
        <v>26</v>
      </c>
      <c r="X12" s="5" t="s">
        <v>27</v>
      </c>
      <c r="Y12" s="5" t="s">
        <v>26</v>
      </c>
      <c r="Z12" s="5" t="s">
        <v>27</v>
      </c>
      <c r="AA12" s="152"/>
    </row>
    <row r="13" spans="1:30" ht="26" hidden="1">
      <c r="A13" s="6">
        <v>1</v>
      </c>
      <c r="B13" s="7" t="s">
        <v>28</v>
      </c>
      <c r="C13" s="8"/>
      <c r="D13" s="9" t="s">
        <v>29</v>
      </c>
      <c r="E13" s="10">
        <v>0.7</v>
      </c>
      <c r="F13" s="11"/>
      <c r="G13" s="12"/>
      <c r="H13" s="11"/>
      <c r="I13" s="10">
        <v>0.5</v>
      </c>
      <c r="J13" s="13"/>
      <c r="K13" s="10">
        <v>0.27100000000000002</v>
      </c>
      <c r="L13" s="13"/>
      <c r="M13" s="14">
        <v>0.31</v>
      </c>
      <c r="N13" s="13"/>
      <c r="O13" s="15"/>
      <c r="P13" s="13"/>
      <c r="Q13" s="16"/>
      <c r="R13" s="13"/>
      <c r="S13" s="17"/>
      <c r="T13" s="18"/>
      <c r="U13" s="19">
        <f t="shared" ref="U13:U14" si="0">S13/I13</f>
        <v>0</v>
      </c>
      <c r="V13" s="16"/>
      <c r="W13" s="11"/>
      <c r="X13" s="11"/>
      <c r="Y13" s="11"/>
      <c r="Z13" s="11"/>
      <c r="AA13" s="20"/>
      <c r="AB13" s="21">
        <f>SUM(J31:J348)</f>
        <v>218147859274</v>
      </c>
      <c r="AC13" s="21">
        <f>SUM(T31:T348)</f>
        <v>124727483566</v>
      </c>
      <c r="AD13" s="22"/>
    </row>
    <row r="14" spans="1:30" ht="39" hidden="1">
      <c r="A14" s="23"/>
      <c r="B14" s="24"/>
      <c r="C14" s="24"/>
      <c r="D14" s="9" t="s">
        <v>30</v>
      </c>
      <c r="E14" s="25">
        <v>1</v>
      </c>
      <c r="F14" s="11"/>
      <c r="G14" s="25"/>
      <c r="H14" s="11"/>
      <c r="I14" s="25">
        <v>1</v>
      </c>
      <c r="J14" s="13"/>
      <c r="K14" s="19">
        <v>0.94440000000000002</v>
      </c>
      <c r="L14" s="13"/>
      <c r="M14" s="16">
        <v>0.94440000000000002</v>
      </c>
      <c r="N14" s="13"/>
      <c r="O14" s="15"/>
      <c r="P14" s="13"/>
      <c r="Q14" s="16"/>
      <c r="R14" s="13"/>
      <c r="S14" s="26"/>
      <c r="T14" s="18"/>
      <c r="U14" s="19">
        <f t="shared" si="0"/>
        <v>0</v>
      </c>
      <c r="V14" s="27"/>
      <c r="W14" s="11"/>
      <c r="X14" s="11"/>
      <c r="Y14" s="11"/>
      <c r="Z14" s="11"/>
      <c r="AA14" s="20"/>
      <c r="AC14" s="22"/>
      <c r="AD14" s="22"/>
    </row>
    <row r="15" spans="1:30" ht="52" hidden="1">
      <c r="A15" s="23"/>
      <c r="B15" s="24"/>
      <c r="C15" s="24" t="s">
        <v>31</v>
      </c>
      <c r="D15" s="9" t="s">
        <v>32</v>
      </c>
      <c r="E15" s="10">
        <v>24</v>
      </c>
      <c r="F15" s="28">
        <v>211280539333</v>
      </c>
      <c r="G15" s="16"/>
      <c r="H15" s="11"/>
      <c r="I15" s="10">
        <v>24.98</v>
      </c>
      <c r="J15" s="13">
        <f>SUM(J31:J348)</f>
        <v>218147859274</v>
      </c>
      <c r="K15" s="29">
        <v>8.57</v>
      </c>
      <c r="L15" s="13"/>
      <c r="M15" s="29">
        <v>0.04</v>
      </c>
      <c r="N15" s="13"/>
      <c r="O15" s="15"/>
      <c r="P15" s="13"/>
      <c r="Q15" s="16"/>
      <c r="R15" s="13"/>
      <c r="S15" s="30"/>
      <c r="T15" s="13">
        <f>SUM(T31:T348)</f>
        <v>124727483566</v>
      </c>
      <c r="U15" s="19">
        <f t="shared" ref="U15:U17" si="1">(I15-(S15-I15))/I15</f>
        <v>2</v>
      </c>
      <c r="V15" s="27"/>
      <c r="W15" s="11"/>
      <c r="X15" s="11"/>
      <c r="Y15" s="11"/>
      <c r="Z15" s="11"/>
      <c r="AA15" s="20"/>
      <c r="AC15" s="22"/>
      <c r="AD15" s="22"/>
    </row>
    <row r="16" spans="1:30" ht="14.5" hidden="1">
      <c r="A16" s="23"/>
      <c r="B16" s="24"/>
      <c r="C16" s="24"/>
      <c r="D16" s="9" t="s">
        <v>33</v>
      </c>
      <c r="E16" s="10">
        <v>3.85</v>
      </c>
      <c r="F16" s="11"/>
      <c r="G16" s="16"/>
      <c r="H16" s="11"/>
      <c r="I16" s="10">
        <v>4.05</v>
      </c>
      <c r="J16" s="13"/>
      <c r="K16" s="29">
        <v>1.8</v>
      </c>
      <c r="L16" s="13"/>
      <c r="M16" s="29">
        <v>2.0699999999999998</v>
      </c>
      <c r="N16" s="13"/>
      <c r="O16" s="15"/>
      <c r="P16" s="13"/>
      <c r="Q16" s="16"/>
      <c r="R16" s="13"/>
      <c r="S16" s="30"/>
      <c r="T16" s="18"/>
      <c r="U16" s="19">
        <f t="shared" si="1"/>
        <v>2</v>
      </c>
      <c r="V16" s="27"/>
      <c r="W16" s="11"/>
      <c r="X16" s="11"/>
      <c r="Y16" s="11"/>
      <c r="Z16" s="11"/>
      <c r="AA16" s="20"/>
      <c r="AC16" s="22"/>
      <c r="AD16" s="22"/>
    </row>
    <row r="17" spans="1:31" ht="39" hidden="1">
      <c r="A17" s="23"/>
      <c r="B17" s="24"/>
      <c r="C17" s="24"/>
      <c r="D17" s="9" t="s">
        <v>34</v>
      </c>
      <c r="E17" s="25">
        <v>0.12</v>
      </c>
      <c r="F17" s="11"/>
      <c r="G17" s="16"/>
      <c r="H17" s="11"/>
      <c r="I17" s="25">
        <v>0.14000000000000001</v>
      </c>
      <c r="J17" s="13"/>
      <c r="K17" s="19">
        <v>7.9000000000000001E-2</v>
      </c>
      <c r="L17" s="13"/>
      <c r="M17" s="16">
        <v>8.3000000000000004E-2</v>
      </c>
      <c r="N17" s="13"/>
      <c r="O17" s="15"/>
      <c r="P17" s="13"/>
      <c r="Q17" s="16"/>
      <c r="R17" s="13"/>
      <c r="S17" s="31"/>
      <c r="T17" s="18"/>
      <c r="U17" s="19">
        <f t="shared" si="1"/>
        <v>2</v>
      </c>
      <c r="V17" s="27"/>
      <c r="W17" s="11"/>
      <c r="X17" s="11"/>
      <c r="Y17" s="11"/>
      <c r="Z17" s="11"/>
      <c r="AA17" s="20"/>
      <c r="AC17" s="22"/>
      <c r="AD17" s="22"/>
    </row>
    <row r="18" spans="1:31" ht="14.5" hidden="1">
      <c r="A18" s="23"/>
      <c r="B18" s="24"/>
      <c r="C18" s="24"/>
      <c r="D18" s="9" t="s">
        <v>35</v>
      </c>
      <c r="E18" s="25">
        <v>1</v>
      </c>
      <c r="F18" s="11"/>
      <c r="G18" s="16"/>
      <c r="H18" s="11"/>
      <c r="I18" s="25">
        <v>1</v>
      </c>
      <c r="J18" s="13"/>
      <c r="K18" s="19">
        <v>1.0782</v>
      </c>
      <c r="L18" s="13"/>
      <c r="M18" s="19">
        <v>1.0753999999999999</v>
      </c>
      <c r="N18" s="13"/>
      <c r="O18" s="15"/>
      <c r="P18" s="13"/>
      <c r="Q18" s="16"/>
      <c r="R18" s="13"/>
      <c r="S18" s="26"/>
      <c r="T18" s="18"/>
      <c r="U18" s="19">
        <f t="shared" ref="U18:U25" si="2">S18/I18</f>
        <v>0</v>
      </c>
      <c r="V18" s="27"/>
      <c r="W18" s="11"/>
      <c r="X18" s="11"/>
      <c r="Y18" s="11"/>
      <c r="Z18" s="11"/>
      <c r="AA18" s="20"/>
      <c r="AC18" s="22"/>
      <c r="AD18" s="22"/>
    </row>
    <row r="19" spans="1:31" ht="26" hidden="1">
      <c r="A19" s="23"/>
      <c r="B19" s="24"/>
      <c r="C19" s="24"/>
      <c r="D19" s="9" t="s">
        <v>36</v>
      </c>
      <c r="E19" s="25">
        <v>0.9</v>
      </c>
      <c r="F19" s="11"/>
      <c r="G19" s="16"/>
      <c r="H19" s="11"/>
      <c r="I19" s="25">
        <v>0.7</v>
      </c>
      <c r="J19" s="13"/>
      <c r="K19" s="19">
        <v>0</v>
      </c>
      <c r="L19" s="13"/>
      <c r="M19" s="19">
        <v>0</v>
      </c>
      <c r="N19" s="13"/>
      <c r="O19" s="15"/>
      <c r="P19" s="13"/>
      <c r="Q19" s="16"/>
      <c r="R19" s="13"/>
      <c r="S19" s="26"/>
      <c r="T19" s="18"/>
      <c r="U19" s="19">
        <f t="shared" si="2"/>
        <v>0</v>
      </c>
      <c r="V19" s="27"/>
      <c r="W19" s="11"/>
      <c r="X19" s="11"/>
      <c r="Y19" s="11"/>
      <c r="Z19" s="11"/>
      <c r="AA19" s="20"/>
      <c r="AC19" s="22"/>
      <c r="AD19" s="22"/>
    </row>
    <row r="20" spans="1:31" ht="39" hidden="1">
      <c r="A20" s="23"/>
      <c r="B20" s="24"/>
      <c r="C20" s="24"/>
      <c r="D20" s="32" t="s">
        <v>37</v>
      </c>
      <c r="E20" s="33">
        <v>1</v>
      </c>
      <c r="F20" s="34"/>
      <c r="G20" s="35"/>
      <c r="H20" s="34"/>
      <c r="I20" s="33">
        <v>1</v>
      </c>
      <c r="J20" s="36"/>
      <c r="K20" s="37">
        <v>0.109</v>
      </c>
      <c r="L20" s="36"/>
      <c r="M20" s="19">
        <v>0.15</v>
      </c>
      <c r="N20" s="13"/>
      <c r="O20" s="15"/>
      <c r="P20" s="13"/>
      <c r="Q20" s="16"/>
      <c r="R20" s="13"/>
      <c r="S20" s="26"/>
      <c r="T20" s="18"/>
      <c r="U20" s="19">
        <f t="shared" si="2"/>
        <v>0</v>
      </c>
      <c r="V20" s="27"/>
      <c r="W20" s="11"/>
      <c r="X20" s="11"/>
      <c r="Y20" s="11"/>
      <c r="Z20" s="11"/>
      <c r="AA20" s="20"/>
      <c r="AC20" s="22"/>
      <c r="AD20" s="22"/>
    </row>
    <row r="21" spans="1:31" ht="15.75" hidden="1" customHeight="1">
      <c r="A21" s="23"/>
      <c r="B21" s="24"/>
      <c r="C21" s="24"/>
      <c r="D21" s="9" t="s">
        <v>38</v>
      </c>
      <c r="E21" s="16">
        <v>0.93400000000000005</v>
      </c>
      <c r="F21" s="11"/>
      <c r="G21" s="16"/>
      <c r="H21" s="11"/>
      <c r="I21" s="25">
        <v>0.93</v>
      </c>
      <c r="J21" s="13"/>
      <c r="K21" s="19" t="s">
        <v>39</v>
      </c>
      <c r="L21" s="13"/>
      <c r="M21" s="16">
        <v>0.36670000000000003</v>
      </c>
      <c r="N21" s="13"/>
      <c r="O21" s="15"/>
      <c r="P21" s="13"/>
      <c r="Q21" s="16"/>
      <c r="R21" s="13"/>
      <c r="S21" s="31"/>
      <c r="T21" s="18"/>
      <c r="U21" s="19">
        <f t="shared" si="2"/>
        <v>0</v>
      </c>
      <c r="V21" s="27"/>
      <c r="W21" s="11"/>
      <c r="X21" s="11"/>
      <c r="Y21" s="11"/>
      <c r="Z21" s="11"/>
      <c r="AA21" s="20"/>
      <c r="AC21" s="22"/>
      <c r="AD21" s="22"/>
    </row>
    <row r="22" spans="1:31" ht="15.75" hidden="1" customHeight="1">
      <c r="A22" s="23"/>
      <c r="B22" s="24"/>
      <c r="C22" s="24"/>
      <c r="D22" s="9" t="s">
        <v>40</v>
      </c>
      <c r="E22" s="25">
        <v>1</v>
      </c>
      <c r="F22" s="11"/>
      <c r="G22" s="16"/>
      <c r="H22" s="11"/>
      <c r="I22" s="25">
        <v>1</v>
      </c>
      <c r="J22" s="13"/>
      <c r="K22" s="19">
        <v>0.92500000000000004</v>
      </c>
      <c r="L22" s="13"/>
      <c r="M22" s="16">
        <v>0.97499999999999998</v>
      </c>
      <c r="N22" s="13"/>
      <c r="O22" s="15"/>
      <c r="P22" s="13"/>
      <c r="Q22" s="16"/>
      <c r="R22" s="13"/>
      <c r="S22" s="31"/>
      <c r="T22" s="18"/>
      <c r="U22" s="19">
        <f t="shared" si="2"/>
        <v>0</v>
      </c>
      <c r="V22" s="27"/>
      <c r="W22" s="11"/>
      <c r="X22" s="11"/>
      <c r="Y22" s="11"/>
      <c r="Z22" s="11"/>
      <c r="AA22" s="20"/>
      <c r="AC22" s="22"/>
      <c r="AD22" s="22"/>
    </row>
    <row r="23" spans="1:31" ht="15.75" hidden="1" customHeight="1">
      <c r="A23" s="23"/>
      <c r="B23" s="24"/>
      <c r="C23" s="24"/>
      <c r="D23" s="9" t="s">
        <v>41</v>
      </c>
      <c r="E23" s="25">
        <v>1</v>
      </c>
      <c r="F23" s="11"/>
      <c r="G23" s="16"/>
      <c r="H23" s="11"/>
      <c r="I23" s="25">
        <v>1</v>
      </c>
      <c r="J23" s="13"/>
      <c r="K23" s="19">
        <v>0.8</v>
      </c>
      <c r="L23" s="13"/>
      <c r="M23" s="16">
        <v>0.8</v>
      </c>
      <c r="N23" s="13"/>
      <c r="O23" s="15"/>
      <c r="P23" s="13"/>
      <c r="Q23" s="16"/>
      <c r="R23" s="13"/>
      <c r="S23" s="31"/>
      <c r="T23" s="18"/>
      <c r="U23" s="19">
        <f t="shared" si="2"/>
        <v>0</v>
      </c>
      <c r="V23" s="27"/>
      <c r="W23" s="11"/>
      <c r="X23" s="11"/>
      <c r="Y23" s="11"/>
      <c r="Z23" s="11"/>
      <c r="AA23" s="20"/>
      <c r="AC23" s="22"/>
      <c r="AD23" s="22"/>
    </row>
    <row r="24" spans="1:31" ht="15.75" hidden="1" customHeight="1">
      <c r="A24" s="23"/>
      <c r="B24" s="24"/>
      <c r="C24" s="24"/>
      <c r="D24" s="9" t="s">
        <v>42</v>
      </c>
      <c r="E24" s="25">
        <v>0.85</v>
      </c>
      <c r="F24" s="11"/>
      <c r="G24" s="16"/>
      <c r="H24" s="11"/>
      <c r="I24" s="25">
        <v>0.75</v>
      </c>
      <c r="J24" s="13"/>
      <c r="K24" s="19">
        <v>0.25</v>
      </c>
      <c r="L24" s="13"/>
      <c r="M24" s="16">
        <v>1</v>
      </c>
      <c r="N24" s="13"/>
      <c r="O24" s="15"/>
      <c r="P24" s="13"/>
      <c r="Q24" s="16"/>
      <c r="R24" s="13"/>
      <c r="S24" s="31"/>
      <c r="T24" s="18"/>
      <c r="U24" s="19">
        <f t="shared" si="2"/>
        <v>0</v>
      </c>
      <c r="V24" s="27"/>
      <c r="W24" s="11"/>
      <c r="X24" s="11"/>
      <c r="Y24" s="11"/>
      <c r="Z24" s="11"/>
      <c r="AA24" s="20"/>
      <c r="AC24" s="22"/>
      <c r="AD24" s="22"/>
    </row>
    <row r="25" spans="1:31" ht="15.75" hidden="1" customHeight="1">
      <c r="A25" s="23"/>
      <c r="B25" s="24"/>
      <c r="C25" s="24"/>
      <c r="D25" s="9" t="s">
        <v>43</v>
      </c>
      <c r="E25" s="25">
        <v>1</v>
      </c>
      <c r="F25" s="11"/>
      <c r="G25" s="16"/>
      <c r="H25" s="11"/>
      <c r="I25" s="25">
        <v>1</v>
      </c>
      <c r="J25" s="13"/>
      <c r="K25" s="19">
        <f>16/18</f>
        <v>0.88888888888888884</v>
      </c>
      <c r="L25" s="13"/>
      <c r="M25" s="19">
        <f>16/18</f>
        <v>0.88888888888888884</v>
      </c>
      <c r="N25" s="13"/>
      <c r="O25" s="15"/>
      <c r="P25" s="13"/>
      <c r="Q25" s="16"/>
      <c r="R25" s="13"/>
      <c r="S25" s="26"/>
      <c r="T25" s="18"/>
      <c r="U25" s="19">
        <f t="shared" si="2"/>
        <v>0</v>
      </c>
      <c r="V25" s="27"/>
      <c r="W25" s="11"/>
      <c r="X25" s="11"/>
      <c r="Y25" s="11"/>
      <c r="Z25" s="11"/>
      <c r="AA25" s="20"/>
      <c r="AC25" s="22"/>
      <c r="AD25" s="22"/>
    </row>
    <row r="26" spans="1:31" ht="15.75" hidden="1" customHeight="1">
      <c r="A26" s="23"/>
      <c r="B26" s="24"/>
      <c r="C26" s="24"/>
      <c r="D26" s="9" t="s">
        <v>44</v>
      </c>
      <c r="E26" s="25" t="s">
        <v>45</v>
      </c>
      <c r="F26" s="11"/>
      <c r="G26" s="16"/>
      <c r="H26" s="11"/>
      <c r="I26" s="25" t="s">
        <v>45</v>
      </c>
      <c r="J26" s="13"/>
      <c r="K26" s="19" t="s">
        <v>46</v>
      </c>
      <c r="L26" s="13"/>
      <c r="M26" s="16">
        <v>0</v>
      </c>
      <c r="N26" s="13"/>
      <c r="O26" s="15"/>
      <c r="P26" s="13"/>
      <c r="Q26" s="16"/>
      <c r="R26" s="13"/>
      <c r="S26" s="31"/>
      <c r="T26" s="18"/>
      <c r="U26" s="19">
        <f>(2-(S26-2))/2</f>
        <v>2</v>
      </c>
      <c r="V26" s="27"/>
      <c r="W26" s="11"/>
      <c r="X26" s="11"/>
      <c r="Y26" s="11"/>
      <c r="Z26" s="11"/>
      <c r="AA26" s="20"/>
      <c r="AC26" s="22"/>
      <c r="AD26" s="22"/>
    </row>
    <row r="27" spans="1:31" ht="15.75" hidden="1" customHeight="1">
      <c r="A27" s="23"/>
      <c r="B27" s="24"/>
      <c r="C27" s="24"/>
      <c r="D27" s="9" t="s">
        <v>47</v>
      </c>
      <c r="E27" s="10">
        <v>89</v>
      </c>
      <c r="F27" s="11"/>
      <c r="G27" s="16"/>
      <c r="H27" s="11"/>
      <c r="I27" s="10">
        <v>85</v>
      </c>
      <c r="J27" s="13"/>
      <c r="K27" s="19"/>
      <c r="L27" s="13"/>
      <c r="M27" s="16"/>
      <c r="N27" s="13"/>
      <c r="O27" s="15"/>
      <c r="P27" s="13"/>
      <c r="Q27" s="16"/>
      <c r="R27" s="13"/>
      <c r="S27" s="31"/>
      <c r="T27" s="18"/>
      <c r="U27" s="19">
        <f>S27/I27</f>
        <v>0</v>
      </c>
      <c r="V27" s="27"/>
      <c r="W27" s="11"/>
      <c r="X27" s="11"/>
      <c r="Y27" s="11"/>
      <c r="Z27" s="11"/>
      <c r="AA27" s="20"/>
      <c r="AC27" s="22"/>
      <c r="AD27" s="22"/>
    </row>
    <row r="28" spans="1:31" ht="51.75" hidden="1" customHeight="1">
      <c r="A28" s="38"/>
      <c r="B28" s="38"/>
      <c r="C28" s="39" t="s">
        <v>48</v>
      </c>
      <c r="D28" s="9" t="s">
        <v>49</v>
      </c>
      <c r="E28" s="25">
        <v>1</v>
      </c>
      <c r="F28" s="11"/>
      <c r="G28" s="25"/>
      <c r="H28" s="11"/>
      <c r="I28" s="25">
        <v>1</v>
      </c>
      <c r="J28" s="40"/>
      <c r="K28" s="19">
        <v>0.92500000000000004</v>
      </c>
      <c r="L28" s="41"/>
      <c r="M28" s="16">
        <v>0.97499999999999998</v>
      </c>
      <c r="N28" s="42"/>
      <c r="O28" s="43"/>
      <c r="P28" s="11"/>
      <c r="Q28" s="25"/>
      <c r="R28" s="11"/>
      <c r="S28" s="31"/>
      <c r="T28" s="18"/>
      <c r="U28" s="16"/>
      <c r="V28" s="27"/>
      <c r="W28" s="11"/>
      <c r="X28" s="11"/>
      <c r="Y28" s="11"/>
      <c r="Z28" s="11"/>
      <c r="AA28" s="20"/>
      <c r="AC28" s="44"/>
      <c r="AD28" s="45">
        <f>SUM(J31:J38)</f>
        <v>15117578720</v>
      </c>
      <c r="AE28" s="46">
        <f>SUM(T31:T38)</f>
        <v>2717329496</v>
      </c>
    </row>
    <row r="29" spans="1:31" ht="39" hidden="1" customHeight="1">
      <c r="A29" s="47"/>
      <c r="B29" s="178"/>
      <c r="C29" s="49"/>
      <c r="D29" s="9" t="s">
        <v>50</v>
      </c>
      <c r="E29" s="25">
        <v>0.81</v>
      </c>
      <c r="F29" s="11"/>
      <c r="H29" s="11"/>
      <c r="I29" s="25">
        <v>0.8</v>
      </c>
      <c r="J29" s="50"/>
      <c r="K29" s="25">
        <v>0.8</v>
      </c>
      <c r="L29" s="51"/>
      <c r="M29" s="25">
        <v>0.8</v>
      </c>
      <c r="N29" s="52"/>
      <c r="O29" s="53"/>
      <c r="P29" s="54"/>
      <c r="Q29" s="20"/>
      <c r="R29" s="54"/>
      <c r="S29" s="55"/>
      <c r="T29" s="18"/>
      <c r="U29" s="27"/>
      <c r="V29" s="27"/>
      <c r="W29" s="11"/>
      <c r="X29" s="11"/>
      <c r="Y29" s="11"/>
      <c r="Z29" s="11"/>
      <c r="AA29" s="20"/>
      <c r="AC29" s="22"/>
      <c r="AD29" s="22"/>
    </row>
    <row r="30" spans="1:31" ht="15.75" hidden="1" customHeight="1">
      <c r="A30" s="56"/>
      <c r="B30" s="152"/>
      <c r="C30" s="57"/>
      <c r="D30" s="9" t="s">
        <v>51</v>
      </c>
      <c r="E30" s="25">
        <v>1</v>
      </c>
      <c r="F30" s="11"/>
      <c r="G30" s="11"/>
      <c r="H30" s="11"/>
      <c r="I30" s="25">
        <v>1</v>
      </c>
      <c r="J30" s="51"/>
      <c r="K30" s="25">
        <v>1</v>
      </c>
      <c r="L30" s="51"/>
      <c r="M30" s="25">
        <v>1</v>
      </c>
      <c r="N30" s="51"/>
      <c r="O30" s="53"/>
      <c r="P30" s="58"/>
      <c r="Q30" s="58"/>
      <c r="R30" s="58"/>
      <c r="S30" s="55"/>
      <c r="T30" s="18"/>
      <c r="U30" s="27"/>
      <c r="V30" s="27"/>
      <c r="W30" s="11"/>
      <c r="X30" s="11"/>
      <c r="Y30" s="11"/>
      <c r="Z30" s="11"/>
      <c r="AA30" s="20"/>
      <c r="AC30" s="22"/>
      <c r="AD30" s="22"/>
    </row>
    <row r="31" spans="1:31" ht="15.75" hidden="1" customHeight="1">
      <c r="A31" s="56"/>
      <c r="B31" s="48"/>
      <c r="C31" s="59" t="s">
        <v>52</v>
      </c>
      <c r="D31" s="59" t="s">
        <v>53</v>
      </c>
      <c r="E31" s="20" t="s">
        <v>54</v>
      </c>
      <c r="F31" s="51">
        <v>0</v>
      </c>
      <c r="G31" s="60"/>
      <c r="H31" s="59"/>
      <c r="I31" s="20" t="s">
        <v>55</v>
      </c>
      <c r="J31" s="51">
        <v>32697270</v>
      </c>
      <c r="K31" s="61">
        <v>1</v>
      </c>
      <c r="L31" s="51">
        <v>0</v>
      </c>
      <c r="M31" s="20">
        <v>0</v>
      </c>
      <c r="N31" s="51">
        <v>0</v>
      </c>
      <c r="O31" s="53">
        <v>0</v>
      </c>
      <c r="P31" s="58">
        <v>0</v>
      </c>
      <c r="Q31" s="20"/>
      <c r="R31" s="18"/>
      <c r="S31" s="62">
        <f t="shared" ref="S31:T31" si="3">K31+M31+O31+Q31</f>
        <v>1</v>
      </c>
      <c r="T31" s="18">
        <f t="shared" si="3"/>
        <v>0</v>
      </c>
      <c r="U31" s="27">
        <v>1</v>
      </c>
      <c r="V31" s="27">
        <f t="shared" ref="V31:V38" si="4">T31/J31</f>
        <v>0</v>
      </c>
      <c r="W31" s="11"/>
      <c r="X31" s="11"/>
      <c r="Y31" s="11"/>
      <c r="Z31" s="11"/>
      <c r="AA31" s="20" t="s">
        <v>56</v>
      </c>
      <c r="AC31" s="22"/>
      <c r="AD31" s="22"/>
    </row>
    <row r="32" spans="1:31" ht="15.75" hidden="1" customHeight="1">
      <c r="A32" s="56"/>
      <c r="B32" s="48"/>
      <c r="C32" s="59" t="s">
        <v>57</v>
      </c>
      <c r="D32" s="59" t="s">
        <v>58</v>
      </c>
      <c r="E32" s="20"/>
      <c r="F32" s="63"/>
      <c r="G32" s="59"/>
      <c r="H32" s="59"/>
      <c r="I32" s="20" t="s">
        <v>59</v>
      </c>
      <c r="J32" s="51">
        <v>695000000</v>
      </c>
      <c r="K32" s="61">
        <v>0</v>
      </c>
      <c r="L32" s="51">
        <v>0</v>
      </c>
      <c r="M32" s="20">
        <v>0</v>
      </c>
      <c r="N32" s="51">
        <v>0</v>
      </c>
      <c r="O32" s="53">
        <v>0</v>
      </c>
      <c r="P32" s="58">
        <v>0</v>
      </c>
      <c r="Q32" s="20"/>
      <c r="R32" s="18"/>
      <c r="S32" s="62">
        <f t="shared" ref="S32:T32" si="5">K32+M32+O32+Q32</f>
        <v>0</v>
      </c>
      <c r="T32" s="18">
        <f t="shared" si="5"/>
        <v>0</v>
      </c>
      <c r="U32" s="27">
        <v>0</v>
      </c>
      <c r="V32" s="27">
        <f t="shared" si="4"/>
        <v>0</v>
      </c>
      <c r="W32" s="11"/>
      <c r="X32" s="11"/>
      <c r="Y32" s="11"/>
      <c r="Z32" s="11"/>
      <c r="AA32" s="20" t="s">
        <v>56</v>
      </c>
      <c r="AC32" s="22"/>
      <c r="AD32" s="22"/>
    </row>
    <row r="33" spans="1:31" ht="15.75" hidden="1" customHeight="1">
      <c r="A33" s="56"/>
      <c r="B33" s="48"/>
      <c r="C33" s="59" t="s">
        <v>60</v>
      </c>
      <c r="D33" s="59" t="s">
        <v>61</v>
      </c>
      <c r="E33" s="20"/>
      <c r="F33" s="51"/>
      <c r="G33" s="59"/>
      <c r="H33" s="59"/>
      <c r="I33" s="20" t="s">
        <v>59</v>
      </c>
      <c r="J33" s="51">
        <v>410000000</v>
      </c>
      <c r="K33" s="61">
        <v>0</v>
      </c>
      <c r="L33" s="51">
        <v>0</v>
      </c>
      <c r="M33" s="20">
        <v>0</v>
      </c>
      <c r="N33" s="51">
        <v>0</v>
      </c>
      <c r="O33" s="53">
        <v>0</v>
      </c>
      <c r="P33" s="58">
        <v>0</v>
      </c>
      <c r="Q33" s="20"/>
      <c r="R33" s="18"/>
      <c r="S33" s="62">
        <f t="shared" ref="S33:T33" si="6">K33+M33+O33+Q33</f>
        <v>0</v>
      </c>
      <c r="T33" s="18">
        <f t="shared" si="6"/>
        <v>0</v>
      </c>
      <c r="U33" s="27">
        <v>0</v>
      </c>
      <c r="V33" s="27">
        <f t="shared" si="4"/>
        <v>0</v>
      </c>
      <c r="W33" s="11"/>
      <c r="X33" s="11"/>
      <c r="Y33" s="11"/>
      <c r="Z33" s="11"/>
      <c r="AA33" s="20" t="s">
        <v>62</v>
      </c>
      <c r="AC33" s="22"/>
      <c r="AD33" s="22"/>
    </row>
    <row r="34" spans="1:31" ht="15.75" hidden="1" customHeight="1">
      <c r="A34" s="56"/>
      <c r="B34" s="48"/>
      <c r="C34" s="59" t="s">
        <v>63</v>
      </c>
      <c r="D34" s="59" t="s">
        <v>64</v>
      </c>
      <c r="E34" s="20"/>
      <c r="F34" s="51"/>
      <c r="G34" s="59"/>
      <c r="H34" s="59"/>
      <c r="I34" s="20" t="s">
        <v>59</v>
      </c>
      <c r="J34" s="51">
        <v>2032565000</v>
      </c>
      <c r="K34" s="61">
        <v>0</v>
      </c>
      <c r="L34" s="51">
        <v>0</v>
      </c>
      <c r="M34" s="20">
        <v>0</v>
      </c>
      <c r="N34" s="51">
        <v>0</v>
      </c>
      <c r="O34" s="53">
        <v>0</v>
      </c>
      <c r="P34" s="58">
        <v>0</v>
      </c>
      <c r="Q34" s="20"/>
      <c r="R34" s="18"/>
      <c r="S34" s="62">
        <f t="shared" ref="S34:T34" si="7">K34+M34+O34+Q34</f>
        <v>0</v>
      </c>
      <c r="T34" s="18">
        <f t="shared" si="7"/>
        <v>0</v>
      </c>
      <c r="U34" s="27">
        <v>0</v>
      </c>
      <c r="V34" s="27">
        <f t="shared" si="4"/>
        <v>0</v>
      </c>
      <c r="W34" s="11"/>
      <c r="X34" s="11"/>
      <c r="Y34" s="11"/>
      <c r="Z34" s="11"/>
      <c r="AA34" s="20" t="s">
        <v>62</v>
      </c>
      <c r="AC34" s="22"/>
      <c r="AD34" s="22"/>
    </row>
    <row r="35" spans="1:31" ht="15.75" hidden="1" customHeight="1">
      <c r="A35" s="56"/>
      <c r="B35" s="48"/>
      <c r="C35" s="59" t="s">
        <v>65</v>
      </c>
      <c r="D35" s="59" t="s">
        <v>66</v>
      </c>
      <c r="E35" s="20" t="s">
        <v>67</v>
      </c>
      <c r="F35" s="51">
        <v>940000000</v>
      </c>
      <c r="G35" s="59"/>
      <c r="H35" s="59"/>
      <c r="I35" s="20" t="s">
        <v>68</v>
      </c>
      <c r="J35" s="51">
        <v>1161354000</v>
      </c>
      <c r="K35" s="61">
        <v>0</v>
      </c>
      <c r="L35" s="51">
        <v>0</v>
      </c>
      <c r="M35" s="20">
        <v>0</v>
      </c>
      <c r="N35" s="64">
        <v>0</v>
      </c>
      <c r="O35" s="53">
        <v>0</v>
      </c>
      <c r="P35" s="58">
        <v>0</v>
      </c>
      <c r="Q35" s="20"/>
      <c r="R35" s="18"/>
      <c r="S35" s="62">
        <f t="shared" ref="S35:T35" si="8">K35+M35+O35+Q35</f>
        <v>0</v>
      </c>
      <c r="T35" s="18">
        <f t="shared" si="8"/>
        <v>0</v>
      </c>
      <c r="U35" s="27">
        <v>0</v>
      </c>
      <c r="V35" s="27">
        <f t="shared" si="4"/>
        <v>0</v>
      </c>
      <c r="W35" s="11"/>
      <c r="X35" s="11"/>
      <c r="Y35" s="11"/>
      <c r="Z35" s="11"/>
      <c r="AA35" s="20" t="s">
        <v>56</v>
      </c>
      <c r="AC35" s="22"/>
      <c r="AD35" s="22"/>
    </row>
    <row r="36" spans="1:31" ht="15.75" hidden="1" customHeight="1">
      <c r="A36" s="56"/>
      <c r="B36" s="48"/>
      <c r="C36" s="59" t="s">
        <v>69</v>
      </c>
      <c r="D36" s="59" t="s">
        <v>70</v>
      </c>
      <c r="E36" s="20" t="s">
        <v>71</v>
      </c>
      <c r="F36" s="51">
        <v>692945000</v>
      </c>
      <c r="G36" s="59"/>
      <c r="H36" s="59"/>
      <c r="I36" s="20" t="s">
        <v>72</v>
      </c>
      <c r="J36" s="51">
        <v>595165950</v>
      </c>
      <c r="K36" s="61">
        <v>0</v>
      </c>
      <c r="L36" s="51">
        <v>0</v>
      </c>
      <c r="M36" s="20">
        <v>0</v>
      </c>
      <c r="N36" s="64">
        <v>0</v>
      </c>
      <c r="O36" s="53"/>
      <c r="P36" s="58">
        <f>113241000-L36-N36</f>
        <v>113241000</v>
      </c>
      <c r="Q36" s="61"/>
      <c r="R36" s="18"/>
      <c r="S36" s="62">
        <f t="shared" ref="S36:T36" si="9">K36+M36+O36+Q36</f>
        <v>0</v>
      </c>
      <c r="T36" s="18">
        <f t="shared" si="9"/>
        <v>113241000</v>
      </c>
      <c r="U36" s="27">
        <v>0</v>
      </c>
      <c r="V36" s="27">
        <f t="shared" si="4"/>
        <v>0.19026794123554952</v>
      </c>
      <c r="W36" s="11"/>
      <c r="X36" s="11"/>
      <c r="Y36" s="11"/>
      <c r="Z36" s="11"/>
      <c r="AA36" s="20" t="s">
        <v>56</v>
      </c>
      <c r="AC36" s="22"/>
      <c r="AD36" s="22"/>
    </row>
    <row r="37" spans="1:31" ht="15.75" hidden="1" customHeight="1">
      <c r="A37" s="56"/>
      <c r="B37" s="48"/>
      <c r="C37" s="59" t="s">
        <v>73</v>
      </c>
      <c r="D37" s="59" t="s">
        <v>74</v>
      </c>
      <c r="E37" s="20" t="s">
        <v>75</v>
      </c>
      <c r="F37" s="51">
        <v>7700477400</v>
      </c>
      <c r="G37" s="59"/>
      <c r="H37" s="59"/>
      <c r="I37" s="20" t="s">
        <v>76</v>
      </c>
      <c r="J37" s="51">
        <v>10040796500</v>
      </c>
      <c r="K37" s="61">
        <v>0</v>
      </c>
      <c r="L37" s="51">
        <v>39100833</v>
      </c>
      <c r="M37" s="20">
        <v>0</v>
      </c>
      <c r="N37" s="64">
        <f>92657703-L37</f>
        <v>53556870</v>
      </c>
      <c r="O37" s="53"/>
      <c r="P37" s="58">
        <f>2539763496-L37-N37</f>
        <v>2447105793</v>
      </c>
      <c r="Q37" s="61"/>
      <c r="R37" s="18"/>
      <c r="S37" s="62">
        <f t="shared" ref="S37:T37" si="10">K37+M37+O37+Q37</f>
        <v>0</v>
      </c>
      <c r="T37" s="18">
        <f t="shared" si="10"/>
        <v>2539763496</v>
      </c>
      <c r="U37" s="27">
        <v>0</v>
      </c>
      <c r="V37" s="27">
        <f t="shared" si="4"/>
        <v>0.25294442487705032</v>
      </c>
      <c r="W37" s="11"/>
      <c r="X37" s="11"/>
      <c r="Y37" s="11"/>
      <c r="Z37" s="11"/>
      <c r="AA37" s="20" t="s">
        <v>56</v>
      </c>
      <c r="AC37" s="22"/>
      <c r="AD37" s="22"/>
    </row>
    <row r="38" spans="1:31" ht="15.75" hidden="1" customHeight="1">
      <c r="A38" s="56"/>
      <c r="B38" s="48"/>
      <c r="C38" s="59" t="s">
        <v>77</v>
      </c>
      <c r="D38" s="59" t="s">
        <v>78</v>
      </c>
      <c r="E38" s="20" t="s">
        <v>79</v>
      </c>
      <c r="F38" s="51">
        <v>580277280</v>
      </c>
      <c r="G38" s="59"/>
      <c r="H38" s="59"/>
      <c r="I38" s="20" t="s">
        <v>80</v>
      </c>
      <c r="J38" s="51">
        <v>150000000</v>
      </c>
      <c r="K38" s="65">
        <v>121131</v>
      </c>
      <c r="L38" s="51">
        <v>0</v>
      </c>
      <c r="M38" s="20">
        <v>122656</v>
      </c>
      <c r="N38" s="64">
        <v>0</v>
      </c>
      <c r="O38" s="53"/>
      <c r="P38" s="58">
        <f>64325000-L38-N38</f>
        <v>64325000</v>
      </c>
      <c r="Q38" s="61"/>
      <c r="R38" s="18"/>
      <c r="S38" s="62">
        <f>M38</f>
        <v>122656</v>
      </c>
      <c r="T38" s="18">
        <f>L38+N38+P38+R38</f>
        <v>64325000</v>
      </c>
      <c r="U38" s="27">
        <f>S38/155285</f>
        <v>0.78987667836558584</v>
      </c>
      <c r="V38" s="27">
        <f t="shared" si="4"/>
        <v>0.42883333333333334</v>
      </c>
      <c r="W38" s="11"/>
      <c r="X38" s="11"/>
      <c r="Y38" s="11"/>
      <c r="Z38" s="11"/>
      <c r="AA38" s="20" t="s">
        <v>56</v>
      </c>
      <c r="AC38" s="22"/>
      <c r="AD38" s="22"/>
    </row>
    <row r="39" spans="1:31" ht="15.75" hidden="1" customHeight="1">
      <c r="A39" s="56"/>
      <c r="B39" s="48"/>
      <c r="C39" s="39" t="s">
        <v>81</v>
      </c>
      <c r="D39" s="66" t="s">
        <v>82</v>
      </c>
      <c r="E39" s="25">
        <v>1</v>
      </c>
      <c r="F39" s="51"/>
      <c r="G39" s="59"/>
      <c r="H39" s="59"/>
      <c r="I39" s="25">
        <v>1</v>
      </c>
      <c r="J39" s="51"/>
      <c r="K39" s="19">
        <v>0.20430000000000001</v>
      </c>
      <c r="L39" s="51"/>
      <c r="M39" s="19">
        <v>0.31</v>
      </c>
      <c r="N39" s="64"/>
      <c r="O39" s="67"/>
      <c r="P39" s="58"/>
      <c r="Q39" s="61"/>
      <c r="R39" s="18"/>
      <c r="S39" s="68"/>
      <c r="T39" s="18"/>
      <c r="U39" s="27"/>
      <c r="V39" s="27"/>
      <c r="W39" s="11"/>
      <c r="X39" s="11"/>
      <c r="Y39" s="11"/>
      <c r="Z39" s="11"/>
      <c r="AA39" s="20"/>
      <c r="AC39" s="22"/>
      <c r="AD39" s="69">
        <f>SUM(J62:J327)</f>
        <v>202477282854</v>
      </c>
      <c r="AE39" s="70">
        <f>SUM(T62:T327)</f>
        <v>121963104058</v>
      </c>
    </row>
    <row r="40" spans="1:31" ht="15.75" hidden="1" customHeight="1">
      <c r="A40" s="56"/>
      <c r="B40" s="48"/>
      <c r="C40" s="49"/>
      <c r="D40" s="66" t="s">
        <v>83</v>
      </c>
      <c r="E40" s="25">
        <v>1</v>
      </c>
      <c r="F40" s="51"/>
      <c r="G40" s="59"/>
      <c r="H40" s="59"/>
      <c r="I40" s="25">
        <v>1</v>
      </c>
      <c r="J40" s="51"/>
      <c r="K40" s="19">
        <v>0.21079999999999999</v>
      </c>
      <c r="L40" s="51"/>
      <c r="M40" s="19">
        <v>0.3553</v>
      </c>
      <c r="N40" s="71"/>
      <c r="O40" s="67"/>
      <c r="P40" s="58"/>
      <c r="Q40" s="61"/>
      <c r="R40" s="18"/>
      <c r="S40" s="68"/>
      <c r="T40" s="18"/>
      <c r="U40" s="27"/>
      <c r="V40" s="27"/>
      <c r="W40" s="11"/>
      <c r="X40" s="11"/>
      <c r="Y40" s="11"/>
      <c r="Z40" s="11"/>
      <c r="AA40" s="20"/>
      <c r="AC40" s="22"/>
      <c r="AD40" s="44"/>
    </row>
    <row r="41" spans="1:31" ht="15.75" hidden="1" customHeight="1">
      <c r="A41" s="56"/>
      <c r="B41" s="48"/>
      <c r="C41" s="49"/>
      <c r="D41" s="66" t="s">
        <v>84</v>
      </c>
      <c r="E41" s="25">
        <v>1</v>
      </c>
      <c r="F41" s="51"/>
      <c r="G41" s="59"/>
      <c r="H41" s="59"/>
      <c r="I41" s="25">
        <v>1</v>
      </c>
      <c r="J41" s="51"/>
      <c r="K41" s="19">
        <v>0.21690000000000001</v>
      </c>
      <c r="L41" s="51"/>
      <c r="M41" s="19">
        <v>0.36570000000000003</v>
      </c>
      <c r="N41" s="71"/>
      <c r="O41" s="67"/>
      <c r="P41" s="58"/>
      <c r="Q41" s="61"/>
      <c r="R41" s="18"/>
      <c r="S41" s="68"/>
      <c r="T41" s="18"/>
      <c r="U41" s="27"/>
      <c r="V41" s="27"/>
      <c r="W41" s="11"/>
      <c r="X41" s="11"/>
      <c r="Y41" s="11"/>
      <c r="Z41" s="11"/>
      <c r="AA41" s="20"/>
      <c r="AC41" s="22"/>
      <c r="AD41" s="44"/>
    </row>
    <row r="42" spans="1:31" ht="15.75" hidden="1" customHeight="1">
      <c r="A42" s="56"/>
      <c r="B42" s="48"/>
      <c r="C42" s="49"/>
      <c r="D42" s="66" t="s">
        <v>85</v>
      </c>
      <c r="E42" s="25">
        <v>1</v>
      </c>
      <c r="F42" s="51"/>
      <c r="G42" s="59"/>
      <c r="H42" s="59"/>
      <c r="I42" s="25">
        <v>1</v>
      </c>
      <c r="J42" s="51"/>
      <c r="K42" s="19">
        <v>0.2114</v>
      </c>
      <c r="L42" s="72"/>
      <c r="M42" s="19">
        <v>0.34310000000000002</v>
      </c>
      <c r="N42" s="64"/>
      <c r="O42" s="67"/>
      <c r="P42" s="73"/>
      <c r="Q42" s="20"/>
      <c r="R42" s="18"/>
      <c r="S42" s="68"/>
      <c r="T42" s="18"/>
      <c r="U42" s="27"/>
      <c r="V42" s="27"/>
      <c r="W42" s="11"/>
      <c r="X42" s="11"/>
      <c r="Y42" s="11"/>
      <c r="Z42" s="11"/>
      <c r="AA42" s="20"/>
      <c r="AC42" s="44"/>
      <c r="AD42" s="44"/>
    </row>
    <row r="43" spans="1:31" ht="15.75" hidden="1" customHeight="1">
      <c r="A43" s="56"/>
      <c r="B43" s="48"/>
      <c r="C43" s="49"/>
      <c r="D43" s="66" t="s">
        <v>86</v>
      </c>
      <c r="E43" s="25">
        <v>1</v>
      </c>
      <c r="F43" s="51"/>
      <c r="G43" s="37"/>
      <c r="H43" s="59"/>
      <c r="I43" s="25">
        <v>1</v>
      </c>
      <c r="J43" s="51"/>
      <c r="K43" s="19">
        <v>0.26119999999999999</v>
      </c>
      <c r="L43" s="51"/>
      <c r="M43" s="19">
        <v>0.1336</v>
      </c>
      <c r="N43" s="64"/>
      <c r="O43" s="67"/>
      <c r="P43" s="58"/>
      <c r="Q43" s="61"/>
      <c r="R43" s="18"/>
      <c r="S43" s="68"/>
      <c r="T43" s="18"/>
      <c r="U43" s="27"/>
      <c r="V43" s="27"/>
      <c r="W43" s="11"/>
      <c r="X43" s="11"/>
      <c r="Y43" s="11"/>
      <c r="Z43" s="11"/>
      <c r="AA43" s="20"/>
      <c r="AC43" s="44"/>
      <c r="AD43" s="44"/>
    </row>
    <row r="44" spans="1:31" ht="15.75" hidden="1" customHeight="1">
      <c r="A44" s="56"/>
      <c r="B44" s="48"/>
      <c r="C44" s="74"/>
      <c r="D44" s="66" t="s">
        <v>87</v>
      </c>
      <c r="E44" s="25">
        <v>1</v>
      </c>
      <c r="F44" s="51"/>
      <c r="G44" s="37"/>
      <c r="H44" s="59"/>
      <c r="I44" s="25">
        <v>1</v>
      </c>
      <c r="J44" s="51"/>
      <c r="K44" s="19">
        <v>0.19239999999999999</v>
      </c>
      <c r="L44" s="75"/>
      <c r="M44" s="19">
        <v>0.115</v>
      </c>
      <c r="N44" s="71"/>
      <c r="O44" s="67"/>
      <c r="P44" s="58"/>
      <c r="Q44" s="61"/>
      <c r="R44" s="18"/>
      <c r="S44" s="68"/>
      <c r="T44" s="18"/>
      <c r="U44" s="27"/>
      <c r="V44" s="27"/>
      <c r="W44" s="11"/>
      <c r="X44" s="11"/>
      <c r="Y44" s="11"/>
      <c r="Z44" s="11"/>
      <c r="AA44" s="20"/>
      <c r="AC44" s="44"/>
      <c r="AD44" s="44"/>
    </row>
    <row r="45" spans="1:31" ht="15.75" hidden="1" customHeight="1">
      <c r="A45" s="56"/>
      <c r="B45" s="48"/>
      <c r="C45" s="74"/>
      <c r="D45" s="66" t="s">
        <v>88</v>
      </c>
      <c r="E45" s="25">
        <v>1</v>
      </c>
      <c r="F45" s="51"/>
      <c r="G45" s="37"/>
      <c r="H45" s="59"/>
      <c r="I45" s="25">
        <v>1</v>
      </c>
      <c r="J45" s="51"/>
      <c r="K45" s="19">
        <v>0.17238768548637182</v>
      </c>
      <c r="L45" s="75"/>
      <c r="M45" s="19">
        <v>0.11522588264791074</v>
      </c>
      <c r="N45" s="71"/>
      <c r="O45" s="76"/>
      <c r="P45" s="58"/>
      <c r="Q45" s="19"/>
      <c r="R45" s="18"/>
      <c r="S45" s="68"/>
      <c r="T45" s="18"/>
      <c r="U45" s="27"/>
      <c r="V45" s="27"/>
      <c r="W45" s="11"/>
      <c r="X45" s="11"/>
      <c r="Y45" s="11"/>
      <c r="Z45" s="11"/>
      <c r="AA45" s="20"/>
      <c r="AC45" s="44"/>
      <c r="AD45" s="45"/>
    </row>
    <row r="46" spans="1:31" ht="15.75" hidden="1" customHeight="1">
      <c r="A46" s="56"/>
      <c r="B46" s="48"/>
      <c r="C46" s="74"/>
      <c r="D46" s="66" t="s">
        <v>89</v>
      </c>
      <c r="E46" s="25">
        <v>1</v>
      </c>
      <c r="F46" s="51"/>
      <c r="G46" s="37"/>
      <c r="H46" s="59"/>
      <c r="I46" s="25">
        <v>1</v>
      </c>
      <c r="J46" s="51"/>
      <c r="K46" s="19">
        <v>0.16330010493179434</v>
      </c>
      <c r="L46" s="75"/>
      <c r="M46" s="19">
        <v>5.2868135711787341E-2</v>
      </c>
      <c r="N46" s="71"/>
      <c r="O46" s="76"/>
      <c r="P46" s="58"/>
      <c r="Q46" s="19"/>
      <c r="R46" s="18"/>
      <c r="S46" s="68"/>
      <c r="T46" s="18"/>
      <c r="U46" s="27"/>
      <c r="V46" s="27"/>
      <c r="W46" s="11"/>
      <c r="X46" s="11"/>
      <c r="Y46" s="11"/>
      <c r="Z46" s="11"/>
      <c r="AA46" s="20"/>
      <c r="AC46" s="44"/>
      <c r="AD46" s="44"/>
    </row>
    <row r="47" spans="1:31" ht="15.75" hidden="1" customHeight="1">
      <c r="A47" s="56"/>
      <c r="B47" s="48"/>
      <c r="C47" s="74"/>
      <c r="D47" s="66" t="s">
        <v>90</v>
      </c>
      <c r="E47" s="25">
        <v>1</v>
      </c>
      <c r="F47" s="51"/>
      <c r="G47" s="37"/>
      <c r="H47" s="59"/>
      <c r="I47" s="25">
        <v>1</v>
      </c>
      <c r="J47" s="51"/>
      <c r="K47" s="19">
        <v>0.30395464975030367</v>
      </c>
      <c r="L47" s="75"/>
      <c r="M47" s="19">
        <v>9.0520538084311875E-2</v>
      </c>
      <c r="N47" s="71"/>
      <c r="O47" s="76"/>
      <c r="P47" s="58"/>
      <c r="Q47" s="19"/>
      <c r="R47" s="18"/>
      <c r="S47" s="68"/>
      <c r="T47" s="18"/>
      <c r="U47" s="27"/>
      <c r="V47" s="27"/>
      <c r="W47" s="11"/>
      <c r="X47" s="11"/>
      <c r="Y47" s="11"/>
      <c r="Z47" s="11"/>
      <c r="AA47" s="20"/>
      <c r="AC47" s="44"/>
      <c r="AD47" s="44"/>
    </row>
    <row r="48" spans="1:31" ht="15.75" hidden="1" customHeight="1">
      <c r="A48" s="56"/>
      <c r="B48" s="48"/>
      <c r="C48" s="74"/>
      <c r="D48" s="66" t="s">
        <v>91</v>
      </c>
      <c r="E48" s="25">
        <v>1</v>
      </c>
      <c r="F48" s="51"/>
      <c r="G48" s="37"/>
      <c r="H48" s="59"/>
      <c r="I48" s="25">
        <v>1</v>
      </c>
      <c r="J48" s="51"/>
      <c r="K48" s="19">
        <v>0.47561837455830391</v>
      </c>
      <c r="L48" s="75"/>
      <c r="M48" s="19">
        <v>0.10035335689045936</v>
      </c>
      <c r="N48" s="71"/>
      <c r="O48" s="76"/>
      <c r="P48" s="58"/>
      <c r="Q48" s="19"/>
      <c r="R48" s="18"/>
      <c r="S48" s="68"/>
      <c r="T48" s="18"/>
      <c r="U48" s="27"/>
      <c r="V48" s="27"/>
      <c r="W48" s="11"/>
      <c r="X48" s="11"/>
      <c r="Y48" s="11"/>
      <c r="Z48" s="11"/>
      <c r="AA48" s="20"/>
      <c r="AC48" s="44"/>
      <c r="AD48" s="44"/>
    </row>
    <row r="49" spans="1:30" ht="15.75" hidden="1" customHeight="1">
      <c r="A49" s="56"/>
      <c r="B49" s="48"/>
      <c r="C49" s="74"/>
      <c r="D49" s="66" t="s">
        <v>92</v>
      </c>
      <c r="E49" s="25">
        <v>1</v>
      </c>
      <c r="F49" s="51"/>
      <c r="G49" s="37"/>
      <c r="H49" s="59"/>
      <c r="I49" s="25">
        <v>1</v>
      </c>
      <c r="J49" s="51"/>
      <c r="K49" s="19">
        <v>0.16907701352145796</v>
      </c>
      <c r="L49" s="75"/>
      <c r="M49" s="19">
        <v>0.24262198706643151</v>
      </c>
      <c r="N49" s="71"/>
      <c r="O49" s="76"/>
      <c r="P49" s="58"/>
      <c r="Q49" s="19"/>
      <c r="R49" s="18"/>
      <c r="S49" s="68"/>
      <c r="T49" s="18"/>
      <c r="U49" s="27"/>
      <c r="V49" s="27"/>
      <c r="W49" s="11"/>
      <c r="X49" s="11"/>
      <c r="Y49" s="11"/>
      <c r="Z49" s="11"/>
      <c r="AA49" s="20"/>
      <c r="AC49" s="44"/>
      <c r="AD49" s="44"/>
    </row>
    <row r="50" spans="1:30" ht="15.75" hidden="1" customHeight="1">
      <c r="A50" s="56"/>
      <c r="B50" s="48"/>
      <c r="C50" s="74"/>
      <c r="D50" s="66" t="s">
        <v>93</v>
      </c>
      <c r="E50" s="25">
        <v>1</v>
      </c>
      <c r="F50" s="51"/>
      <c r="G50" s="37"/>
      <c r="H50" s="59"/>
      <c r="I50" s="25">
        <v>1</v>
      </c>
      <c r="J50" s="51"/>
      <c r="K50" s="19">
        <v>0.22349462365591397</v>
      </c>
      <c r="L50" s="75"/>
      <c r="M50" s="19">
        <v>0.14408602150537633</v>
      </c>
      <c r="N50" s="71"/>
      <c r="O50" s="76"/>
      <c r="P50" s="58"/>
      <c r="Q50" s="19"/>
      <c r="R50" s="18"/>
      <c r="S50" s="68"/>
      <c r="T50" s="18"/>
      <c r="U50" s="27"/>
      <c r="V50" s="27"/>
      <c r="W50" s="11"/>
      <c r="X50" s="11"/>
      <c r="Y50" s="11"/>
      <c r="Z50" s="11"/>
      <c r="AA50" s="20"/>
      <c r="AC50" s="44"/>
      <c r="AD50" s="44"/>
    </row>
    <row r="51" spans="1:30" ht="15.75" hidden="1" customHeight="1">
      <c r="A51" s="56"/>
      <c r="B51" s="48"/>
      <c r="C51" s="74"/>
      <c r="D51" s="66" t="s">
        <v>94</v>
      </c>
      <c r="E51" s="16">
        <v>0.87709999999999999</v>
      </c>
      <c r="F51" s="51"/>
      <c r="G51" s="37"/>
      <c r="H51" s="59"/>
      <c r="I51" s="25">
        <v>0.75429999999999997</v>
      </c>
      <c r="J51" s="51"/>
      <c r="K51" s="19">
        <v>0.73699999999999999</v>
      </c>
      <c r="L51" s="77"/>
      <c r="M51" s="19">
        <v>0.79949999999999999</v>
      </c>
      <c r="N51" s="64"/>
      <c r="O51" s="76"/>
      <c r="P51" s="78"/>
      <c r="Q51" s="19"/>
      <c r="R51" s="18"/>
      <c r="S51" s="26"/>
      <c r="T51" s="18"/>
      <c r="U51" s="27"/>
      <c r="V51" s="27"/>
      <c r="W51" s="11"/>
      <c r="X51" s="11"/>
      <c r="Y51" s="11"/>
      <c r="Z51" s="11"/>
      <c r="AA51" s="20"/>
      <c r="AC51" s="22"/>
      <c r="AD51" s="44"/>
    </row>
    <row r="52" spans="1:30" ht="15.75" hidden="1" customHeight="1">
      <c r="A52" s="56"/>
      <c r="B52" s="48"/>
      <c r="C52" s="74"/>
      <c r="D52" s="66" t="s">
        <v>95</v>
      </c>
      <c r="E52" s="25">
        <v>1</v>
      </c>
      <c r="F52" s="51"/>
      <c r="G52" s="37"/>
      <c r="H52" s="59"/>
      <c r="I52" s="25">
        <v>1</v>
      </c>
      <c r="J52" s="51"/>
      <c r="K52" s="19">
        <v>1</v>
      </c>
      <c r="L52" s="79"/>
      <c r="M52" s="19">
        <v>0.92359999999999998</v>
      </c>
      <c r="N52" s="64"/>
      <c r="O52" s="76"/>
      <c r="P52" s="80"/>
      <c r="Q52" s="19"/>
      <c r="R52" s="18"/>
      <c r="S52" s="26"/>
      <c r="T52" s="18"/>
      <c r="U52" s="27"/>
      <c r="V52" s="27"/>
      <c r="W52" s="11"/>
      <c r="X52" s="11"/>
      <c r="Y52" s="11"/>
      <c r="Z52" s="11"/>
      <c r="AA52" s="20"/>
      <c r="AC52" s="22"/>
      <c r="AD52" s="44"/>
    </row>
    <row r="53" spans="1:30" ht="15.75" hidden="1" customHeight="1">
      <c r="A53" s="56"/>
      <c r="B53" s="48"/>
      <c r="C53" s="74"/>
      <c r="D53" s="66" t="s">
        <v>96</v>
      </c>
      <c r="E53" s="16">
        <v>0.50870000000000004</v>
      </c>
      <c r="F53" s="51"/>
      <c r="G53" s="37"/>
      <c r="H53" s="59"/>
      <c r="I53" s="25">
        <v>0.19289999999999999</v>
      </c>
      <c r="J53" s="51"/>
      <c r="K53" s="19">
        <v>0.1052</v>
      </c>
      <c r="L53" s="77"/>
      <c r="M53" s="19" t="s">
        <v>97</v>
      </c>
      <c r="N53" s="81"/>
      <c r="O53" s="76"/>
      <c r="P53" s="80"/>
      <c r="Q53" s="19"/>
      <c r="R53" s="18"/>
      <c r="S53" s="26"/>
      <c r="T53" s="18"/>
      <c r="U53" s="27"/>
      <c r="V53" s="27"/>
      <c r="W53" s="11"/>
      <c r="X53" s="11"/>
      <c r="Y53" s="11"/>
      <c r="Z53" s="11"/>
      <c r="AA53" s="20"/>
      <c r="AC53" s="22"/>
      <c r="AD53" s="44"/>
    </row>
    <row r="54" spans="1:30" ht="15.75" hidden="1" customHeight="1">
      <c r="A54" s="56"/>
      <c r="B54" s="48"/>
      <c r="C54" s="74"/>
      <c r="D54" s="66" t="s">
        <v>98</v>
      </c>
      <c r="E54" s="33">
        <v>1</v>
      </c>
      <c r="F54" s="51"/>
      <c r="G54" s="37"/>
      <c r="H54" s="59"/>
      <c r="I54" s="33">
        <v>1</v>
      </c>
      <c r="J54" s="51"/>
      <c r="K54" s="37">
        <v>0.61599999999999999</v>
      </c>
      <c r="L54" s="81"/>
      <c r="M54" s="37">
        <v>0.7</v>
      </c>
      <c r="N54" s="82"/>
      <c r="O54" s="76"/>
      <c r="P54" s="80"/>
      <c r="Q54" s="19"/>
      <c r="R54" s="80"/>
      <c r="S54" s="83"/>
      <c r="T54" s="18"/>
      <c r="U54" s="27"/>
      <c r="V54" s="27"/>
      <c r="W54" s="11"/>
      <c r="X54" s="11"/>
      <c r="Y54" s="11"/>
      <c r="Z54" s="11"/>
      <c r="AA54" s="20"/>
      <c r="AC54" s="22"/>
      <c r="AD54" s="44"/>
    </row>
    <row r="55" spans="1:30" ht="15.75" hidden="1" customHeight="1">
      <c r="A55" s="56"/>
      <c r="B55" s="48"/>
      <c r="C55" s="49"/>
      <c r="D55" s="66" t="s">
        <v>99</v>
      </c>
      <c r="E55" s="25">
        <v>1</v>
      </c>
      <c r="F55" s="51"/>
      <c r="G55" s="59"/>
      <c r="H55" s="59"/>
      <c r="I55" s="25">
        <v>1</v>
      </c>
      <c r="J55" s="51"/>
      <c r="K55" s="19">
        <v>0.96030000000000004</v>
      </c>
      <c r="L55" s="41"/>
      <c r="M55" s="19">
        <v>1.0703</v>
      </c>
      <c r="N55" s="82"/>
      <c r="O55" s="76"/>
      <c r="P55" s="80"/>
      <c r="Q55" s="19"/>
      <c r="R55" s="80"/>
      <c r="S55" s="84"/>
      <c r="T55" s="18"/>
      <c r="U55" s="27"/>
      <c r="V55" s="27"/>
      <c r="W55" s="11"/>
      <c r="X55" s="11"/>
      <c r="Y55" s="11"/>
      <c r="Z55" s="11"/>
      <c r="AA55" s="20"/>
      <c r="AC55" s="22"/>
      <c r="AD55" s="44"/>
    </row>
    <row r="56" spans="1:30" ht="15.75" hidden="1" customHeight="1">
      <c r="A56" s="56"/>
      <c r="B56" s="48"/>
      <c r="C56" s="49"/>
      <c r="D56" s="66" t="s">
        <v>100</v>
      </c>
      <c r="E56" s="25">
        <v>0.9</v>
      </c>
      <c r="F56" s="51"/>
      <c r="G56" s="59"/>
      <c r="H56" s="59"/>
      <c r="I56" s="25">
        <v>0.7</v>
      </c>
      <c r="J56" s="51"/>
      <c r="K56" s="19">
        <v>0</v>
      </c>
      <c r="L56" s="77"/>
      <c r="M56" s="19">
        <v>0</v>
      </c>
      <c r="N56" s="82"/>
      <c r="O56" s="76"/>
      <c r="P56" s="80"/>
      <c r="Q56" s="19"/>
      <c r="R56" s="80"/>
      <c r="S56" s="26"/>
      <c r="T56" s="18"/>
      <c r="U56" s="27"/>
      <c r="V56" s="27"/>
      <c r="W56" s="11"/>
      <c r="X56" s="11"/>
      <c r="Y56" s="11"/>
      <c r="Z56" s="11"/>
      <c r="AA56" s="20"/>
      <c r="AC56" s="22"/>
      <c r="AD56" s="44"/>
    </row>
    <row r="57" spans="1:30" ht="15.75" hidden="1" customHeight="1">
      <c r="A57" s="56"/>
      <c r="B57" s="48"/>
      <c r="C57" s="49"/>
      <c r="D57" s="66" t="s">
        <v>101</v>
      </c>
      <c r="E57" s="25">
        <v>1</v>
      </c>
      <c r="F57" s="51"/>
      <c r="G57" s="59"/>
      <c r="H57" s="59"/>
      <c r="I57" s="25">
        <v>1</v>
      </c>
      <c r="J57" s="51"/>
      <c r="K57" s="25">
        <v>1</v>
      </c>
      <c r="L57" s="41"/>
      <c r="M57" s="25">
        <v>1</v>
      </c>
      <c r="N57" s="82"/>
      <c r="O57" s="53"/>
      <c r="P57" s="80"/>
      <c r="Q57" s="20"/>
      <c r="R57" s="80"/>
      <c r="S57" s="55"/>
      <c r="T57" s="18"/>
      <c r="U57" s="27"/>
      <c r="V57" s="27"/>
      <c r="W57" s="11"/>
      <c r="X57" s="11"/>
      <c r="Y57" s="11"/>
      <c r="Z57" s="11"/>
      <c r="AA57" s="20"/>
      <c r="AC57" s="22"/>
      <c r="AD57" s="44"/>
    </row>
    <row r="58" spans="1:30" ht="15.75" hidden="1" customHeight="1">
      <c r="A58" s="56"/>
      <c r="B58" s="48"/>
      <c r="C58" s="49"/>
      <c r="D58" s="66" t="s">
        <v>102</v>
      </c>
      <c r="E58" s="25">
        <v>1</v>
      </c>
      <c r="F58" s="51"/>
      <c r="G58" s="59"/>
      <c r="H58" s="59"/>
      <c r="I58" s="25">
        <v>1</v>
      </c>
      <c r="J58" s="51"/>
      <c r="K58" s="19">
        <v>0.109</v>
      </c>
      <c r="L58" s="41"/>
      <c r="M58" s="19">
        <v>0.15</v>
      </c>
      <c r="N58" s="82"/>
      <c r="O58" s="53"/>
      <c r="P58" s="80"/>
      <c r="Q58" s="20"/>
      <c r="R58" s="80"/>
      <c r="S58" s="26"/>
      <c r="T58" s="18"/>
      <c r="U58" s="27"/>
      <c r="V58" s="27"/>
      <c r="W58" s="11"/>
      <c r="X58" s="11"/>
      <c r="Y58" s="11"/>
      <c r="Z58" s="11"/>
      <c r="AA58" s="20"/>
      <c r="AC58" s="22"/>
      <c r="AD58" s="44"/>
    </row>
    <row r="59" spans="1:30" ht="15.75" hidden="1" customHeight="1">
      <c r="A59" s="56"/>
      <c r="B59" s="48"/>
      <c r="C59" s="49"/>
      <c r="D59" s="66" t="s">
        <v>103</v>
      </c>
      <c r="E59" s="25">
        <v>1</v>
      </c>
      <c r="F59" s="51"/>
      <c r="G59" s="59"/>
      <c r="H59" s="59"/>
      <c r="I59" s="25">
        <v>1</v>
      </c>
      <c r="J59" s="51"/>
      <c r="K59" s="16">
        <f>16/18</f>
        <v>0.88888888888888884</v>
      </c>
      <c r="L59" s="41"/>
      <c r="M59" s="16">
        <f>16/18</f>
        <v>0.88888888888888884</v>
      </c>
      <c r="N59" s="82"/>
      <c r="O59" s="53"/>
      <c r="P59" s="80"/>
      <c r="Q59" s="20"/>
      <c r="R59" s="80"/>
      <c r="S59" s="31"/>
      <c r="T59" s="18"/>
      <c r="U59" s="27"/>
      <c r="V59" s="27"/>
      <c r="W59" s="11"/>
      <c r="X59" s="11"/>
      <c r="Y59" s="11"/>
      <c r="Z59" s="11"/>
      <c r="AA59" s="20"/>
      <c r="AC59" s="22"/>
      <c r="AD59" s="44"/>
    </row>
    <row r="60" spans="1:30" ht="15.75" hidden="1" customHeight="1">
      <c r="A60" s="56"/>
      <c r="B60" s="48"/>
      <c r="C60" s="49"/>
      <c r="D60" s="66" t="s">
        <v>104</v>
      </c>
      <c r="E60" s="25">
        <v>0.55000000000000004</v>
      </c>
      <c r="F60" s="51"/>
      <c r="G60" s="59"/>
      <c r="H60" s="59"/>
      <c r="I60" s="25">
        <v>0.45</v>
      </c>
      <c r="J60" s="51"/>
      <c r="K60" s="19">
        <v>0.23380000000000001</v>
      </c>
      <c r="L60" s="41"/>
      <c r="M60" s="19">
        <v>0.52</v>
      </c>
      <c r="N60" s="82"/>
      <c r="O60" s="53"/>
      <c r="P60" s="80"/>
      <c r="Q60" s="20"/>
      <c r="R60" s="80"/>
      <c r="S60" s="26"/>
      <c r="T60" s="18"/>
      <c r="U60" s="27"/>
      <c r="V60" s="27"/>
      <c r="W60" s="11"/>
      <c r="X60" s="11"/>
      <c r="Y60" s="11"/>
      <c r="Z60" s="11"/>
      <c r="AA60" s="20"/>
      <c r="AC60" s="22"/>
      <c r="AD60" s="44"/>
    </row>
    <row r="61" spans="1:30" ht="15.75" hidden="1" customHeight="1">
      <c r="A61" s="56"/>
      <c r="B61" s="48"/>
      <c r="C61" s="57"/>
      <c r="D61" s="66" t="s">
        <v>105</v>
      </c>
      <c r="E61" s="25">
        <v>1</v>
      </c>
      <c r="F61" s="51"/>
      <c r="G61" s="59"/>
      <c r="H61" s="59"/>
      <c r="I61" s="25">
        <v>1</v>
      </c>
      <c r="J61" s="51"/>
      <c r="K61" s="25">
        <v>0.35</v>
      </c>
      <c r="L61" s="41"/>
      <c r="M61" s="16">
        <v>0.82369999999999999</v>
      </c>
      <c r="N61" s="82"/>
      <c r="O61" s="53"/>
      <c r="P61" s="80"/>
      <c r="Q61" s="20"/>
      <c r="R61" s="80"/>
      <c r="S61" s="31"/>
      <c r="T61" s="18"/>
      <c r="U61" s="27"/>
      <c r="V61" s="27"/>
      <c r="W61" s="11"/>
      <c r="X61" s="11"/>
      <c r="Y61" s="11"/>
      <c r="Z61" s="11"/>
      <c r="AA61" s="20"/>
      <c r="AC61" s="22"/>
      <c r="AD61" s="44"/>
    </row>
    <row r="62" spans="1:30" ht="15.75" hidden="1" customHeight="1">
      <c r="A62" s="56"/>
      <c r="B62" s="48"/>
      <c r="C62" s="59" t="s">
        <v>106</v>
      </c>
      <c r="D62" s="59" t="s">
        <v>107</v>
      </c>
      <c r="E62" s="20" t="s">
        <v>108</v>
      </c>
      <c r="F62" s="51">
        <v>751986725</v>
      </c>
      <c r="G62" s="59"/>
      <c r="H62" s="59"/>
      <c r="I62" s="20" t="s">
        <v>109</v>
      </c>
      <c r="J62" s="51">
        <v>120610000</v>
      </c>
      <c r="K62" s="61">
        <v>2645</v>
      </c>
      <c r="L62" s="41">
        <v>4550000</v>
      </c>
      <c r="M62" s="20">
        <v>6984</v>
      </c>
      <c r="N62" s="82">
        <f>14450000-L62</f>
        <v>9900000</v>
      </c>
      <c r="O62" s="53"/>
      <c r="P62" s="80">
        <f>96633000-L62-N62</f>
        <v>82183000</v>
      </c>
      <c r="Q62" s="20"/>
      <c r="R62" s="80"/>
      <c r="S62" s="62">
        <f t="shared" ref="S62:T62" si="11">K62+M62+O62+Q62</f>
        <v>9629</v>
      </c>
      <c r="T62" s="18">
        <f t="shared" si="11"/>
        <v>96633000</v>
      </c>
      <c r="U62" s="27">
        <f>S62/12946</f>
        <v>0.74378186312374484</v>
      </c>
      <c r="V62" s="27">
        <f t="shared" ref="V62:V316" si="12">T62/J62</f>
        <v>0.80120222203797364</v>
      </c>
      <c r="W62" s="11"/>
      <c r="X62" s="11"/>
      <c r="Y62" s="11"/>
      <c r="Z62" s="11"/>
      <c r="AA62" s="20" t="s">
        <v>56</v>
      </c>
      <c r="AC62" s="22"/>
      <c r="AD62" s="44"/>
    </row>
    <row r="63" spans="1:30" ht="15.75" hidden="1" customHeight="1">
      <c r="A63" s="56"/>
      <c r="B63" s="48"/>
      <c r="C63" s="59" t="s">
        <v>110</v>
      </c>
      <c r="D63" s="59" t="s">
        <v>107</v>
      </c>
      <c r="E63" s="20"/>
      <c r="F63" s="51"/>
      <c r="G63" s="59"/>
      <c r="H63" s="59"/>
      <c r="I63" s="20" t="s">
        <v>111</v>
      </c>
      <c r="J63" s="51">
        <v>16280000</v>
      </c>
      <c r="K63" s="61">
        <v>281</v>
      </c>
      <c r="L63" s="41">
        <v>0</v>
      </c>
      <c r="M63" s="20">
        <v>173</v>
      </c>
      <c r="N63" s="82">
        <v>4690000</v>
      </c>
      <c r="O63" s="53"/>
      <c r="P63" s="85"/>
      <c r="Q63" s="20"/>
      <c r="R63" s="80"/>
      <c r="S63" s="62">
        <f t="shared" ref="S63:T63" si="13">K63+M63+O63+Q63</f>
        <v>454</v>
      </c>
      <c r="T63" s="18">
        <f t="shared" si="13"/>
        <v>4690000</v>
      </c>
      <c r="U63" s="27">
        <f>S63/1258</f>
        <v>0.36089030206677264</v>
      </c>
      <c r="V63" s="27">
        <f t="shared" si="12"/>
        <v>0.28808353808353809</v>
      </c>
      <c r="W63" s="11"/>
      <c r="X63" s="11"/>
      <c r="Y63" s="11"/>
      <c r="Z63" s="11"/>
      <c r="AA63" s="20" t="s">
        <v>112</v>
      </c>
      <c r="AC63" s="22"/>
      <c r="AD63" s="44"/>
    </row>
    <row r="64" spans="1:30" ht="15.75" hidden="1" customHeight="1">
      <c r="A64" s="56"/>
      <c r="B64" s="48"/>
      <c r="C64" s="59" t="s">
        <v>113</v>
      </c>
      <c r="D64" s="59" t="s">
        <v>107</v>
      </c>
      <c r="E64" s="20"/>
      <c r="F64" s="51"/>
      <c r="G64" s="59"/>
      <c r="H64" s="59"/>
      <c r="I64" s="20" t="s">
        <v>114</v>
      </c>
      <c r="J64" s="51">
        <v>21800000</v>
      </c>
      <c r="K64" s="61">
        <v>193</v>
      </c>
      <c r="L64" s="41">
        <v>0</v>
      </c>
      <c r="M64" s="20">
        <v>86</v>
      </c>
      <c r="N64" s="82">
        <v>1610000</v>
      </c>
      <c r="O64" s="53"/>
      <c r="P64" s="85"/>
      <c r="Q64" s="20"/>
      <c r="R64" s="80"/>
      <c r="S64" s="62">
        <f t="shared" ref="S64:T64" si="14">K64+M64+O64+Q64</f>
        <v>279</v>
      </c>
      <c r="T64" s="18">
        <f t="shared" si="14"/>
        <v>1610000</v>
      </c>
      <c r="U64" s="27">
        <f>S64/854</f>
        <v>0.32669789227166274</v>
      </c>
      <c r="V64" s="27">
        <f t="shared" si="12"/>
        <v>7.3853211009174316E-2</v>
      </c>
      <c r="W64" s="11"/>
      <c r="X64" s="11"/>
      <c r="Y64" s="11"/>
      <c r="Z64" s="11"/>
      <c r="AA64" s="20" t="s">
        <v>115</v>
      </c>
      <c r="AC64" s="22"/>
      <c r="AD64" s="44"/>
    </row>
    <row r="65" spans="1:31" ht="15.75" hidden="1" customHeight="1">
      <c r="A65" s="56"/>
      <c r="B65" s="48"/>
      <c r="C65" s="59" t="s">
        <v>116</v>
      </c>
      <c r="D65" s="59" t="s">
        <v>107</v>
      </c>
      <c r="E65" s="20"/>
      <c r="F65" s="51"/>
      <c r="G65" s="59"/>
      <c r="H65" s="59"/>
      <c r="I65" s="20" t="s">
        <v>117</v>
      </c>
      <c r="J65" s="51">
        <v>36172000</v>
      </c>
      <c r="K65" s="61">
        <v>224</v>
      </c>
      <c r="L65" s="41">
        <v>0</v>
      </c>
      <c r="M65" s="20">
        <v>134</v>
      </c>
      <c r="N65" s="82">
        <v>11082630</v>
      </c>
      <c r="O65" s="53"/>
      <c r="P65" s="85"/>
      <c r="Q65" s="20"/>
      <c r="R65" s="80"/>
      <c r="S65" s="62">
        <f t="shared" ref="S65:T65" si="15">K65+M65+O65+Q65</f>
        <v>358</v>
      </c>
      <c r="T65" s="18">
        <f t="shared" si="15"/>
        <v>11082630</v>
      </c>
      <c r="U65" s="27">
        <f>S65/827</f>
        <v>0.43288996372430472</v>
      </c>
      <c r="V65" s="27">
        <f t="shared" si="12"/>
        <v>0.30638698440782924</v>
      </c>
      <c r="W65" s="11"/>
      <c r="X65" s="11"/>
      <c r="Y65" s="11"/>
      <c r="Z65" s="11"/>
      <c r="AA65" s="20" t="s">
        <v>118</v>
      </c>
      <c r="AC65" s="22"/>
      <c r="AD65" s="44"/>
    </row>
    <row r="66" spans="1:31" ht="15.75" hidden="1" customHeight="1">
      <c r="A66" s="56"/>
      <c r="B66" s="48"/>
      <c r="C66" s="59" t="s">
        <v>119</v>
      </c>
      <c r="D66" s="59" t="s">
        <v>107</v>
      </c>
      <c r="E66" s="20"/>
      <c r="F66" s="51"/>
      <c r="G66" s="59"/>
      <c r="H66" s="59"/>
      <c r="I66" s="20" t="s">
        <v>120</v>
      </c>
      <c r="J66" s="51">
        <v>29480000</v>
      </c>
      <c r="K66" s="61">
        <v>335</v>
      </c>
      <c r="L66" s="41">
        <v>0</v>
      </c>
      <c r="M66" s="20">
        <v>200</v>
      </c>
      <c r="N66" s="82">
        <v>10720000</v>
      </c>
      <c r="O66" s="53"/>
      <c r="P66" s="85"/>
      <c r="Q66" s="20"/>
      <c r="R66" s="80"/>
      <c r="S66" s="62">
        <f t="shared" ref="S66:T66" si="16">K66+M66+O66+Q66</f>
        <v>535</v>
      </c>
      <c r="T66" s="18">
        <f t="shared" si="16"/>
        <v>10720000</v>
      </c>
      <c r="U66" s="27">
        <f>S66/716</f>
        <v>0.7472067039106145</v>
      </c>
      <c r="V66" s="27">
        <f t="shared" si="12"/>
        <v>0.36363636363636365</v>
      </c>
      <c r="W66" s="11"/>
      <c r="X66" s="11"/>
      <c r="Y66" s="11"/>
      <c r="Z66" s="11"/>
      <c r="AA66" s="20" t="s">
        <v>121</v>
      </c>
      <c r="AC66" s="22"/>
      <c r="AD66" s="44"/>
    </row>
    <row r="67" spans="1:31" ht="15.75" hidden="1" customHeight="1">
      <c r="A67" s="56"/>
      <c r="B67" s="48"/>
      <c r="C67" s="59" t="s">
        <v>122</v>
      </c>
      <c r="D67" s="59" t="s">
        <v>107</v>
      </c>
      <c r="E67" s="20"/>
      <c r="F67" s="51"/>
      <c r="G67" s="59"/>
      <c r="H67" s="59"/>
      <c r="I67" s="20" t="s">
        <v>123</v>
      </c>
      <c r="J67" s="51">
        <v>34240000</v>
      </c>
      <c r="K67" s="61">
        <v>103</v>
      </c>
      <c r="L67" s="41">
        <v>0</v>
      </c>
      <c r="M67" s="20">
        <v>60</v>
      </c>
      <c r="N67" s="82">
        <v>5502450</v>
      </c>
      <c r="O67" s="53"/>
      <c r="P67" s="85"/>
      <c r="Q67" s="20"/>
      <c r="R67" s="80"/>
      <c r="S67" s="62">
        <f t="shared" ref="S67:T67" si="17">K67+M67+O67+Q67</f>
        <v>163</v>
      </c>
      <c r="T67" s="18">
        <f t="shared" si="17"/>
        <v>5502450</v>
      </c>
      <c r="U67" s="27">
        <f>S67/493</f>
        <v>0.33062880324543609</v>
      </c>
      <c r="V67" s="27">
        <f t="shared" si="12"/>
        <v>0.16070239485981308</v>
      </c>
      <c r="W67" s="11"/>
      <c r="X67" s="11"/>
      <c r="Y67" s="11"/>
      <c r="Z67" s="11"/>
      <c r="AA67" s="20" t="s">
        <v>124</v>
      </c>
      <c r="AC67" s="22"/>
      <c r="AD67" s="44"/>
    </row>
    <row r="68" spans="1:31" ht="15.75" hidden="1" customHeight="1">
      <c r="A68" s="56"/>
      <c r="B68" s="48"/>
      <c r="C68" s="59" t="s">
        <v>125</v>
      </c>
      <c r="D68" s="59" t="s">
        <v>107</v>
      </c>
      <c r="E68" s="20"/>
      <c r="F68" s="51"/>
      <c r="G68" s="59"/>
      <c r="H68" s="59"/>
      <c r="I68" s="20" t="s">
        <v>126</v>
      </c>
      <c r="J68" s="51">
        <v>12060000</v>
      </c>
      <c r="K68" s="61">
        <v>62</v>
      </c>
      <c r="L68" s="41">
        <v>0</v>
      </c>
      <c r="M68" s="20">
        <v>45</v>
      </c>
      <c r="N68" s="82">
        <v>6030000</v>
      </c>
      <c r="O68" s="53"/>
      <c r="P68" s="85"/>
      <c r="Q68" s="20"/>
      <c r="R68" s="80"/>
      <c r="S68" s="62">
        <f t="shared" ref="S68:T68" si="18">K68+M68+O68+Q68</f>
        <v>107</v>
      </c>
      <c r="T68" s="18">
        <f t="shared" si="18"/>
        <v>6030000</v>
      </c>
      <c r="U68" s="27">
        <f>S68/325</f>
        <v>0.32923076923076922</v>
      </c>
      <c r="V68" s="27">
        <f t="shared" si="12"/>
        <v>0.5</v>
      </c>
      <c r="W68" s="11"/>
      <c r="X68" s="11"/>
      <c r="Y68" s="11"/>
      <c r="Z68" s="11"/>
      <c r="AA68" s="20" t="s">
        <v>127</v>
      </c>
      <c r="AC68" s="22"/>
      <c r="AD68" s="44"/>
    </row>
    <row r="69" spans="1:31" ht="37.5">
      <c r="A69" s="56"/>
      <c r="B69" s="48"/>
      <c r="C69" s="59" t="s">
        <v>128</v>
      </c>
      <c r="D69" s="59" t="s">
        <v>107</v>
      </c>
      <c r="E69" s="20"/>
      <c r="F69" s="51"/>
      <c r="G69" s="59"/>
      <c r="H69" s="59"/>
      <c r="I69" s="20" t="s">
        <v>129</v>
      </c>
      <c r="J69" s="51">
        <v>7208800</v>
      </c>
      <c r="K69" s="61">
        <v>74</v>
      </c>
      <c r="L69" s="41">
        <v>0</v>
      </c>
      <c r="M69" s="20">
        <v>74</v>
      </c>
      <c r="N69" s="82">
        <v>0</v>
      </c>
      <c r="O69" s="86">
        <v>194</v>
      </c>
      <c r="P69" s="86">
        <v>3350000</v>
      </c>
      <c r="Q69" s="20">
        <v>170</v>
      </c>
      <c r="R69" s="80">
        <v>3350000</v>
      </c>
      <c r="S69" s="87">
        <f t="shared" ref="S69:T69" si="19">K69+M69+O69+Q69</f>
        <v>512</v>
      </c>
      <c r="T69" s="18">
        <f t="shared" si="19"/>
        <v>6700000</v>
      </c>
      <c r="U69" s="27">
        <f>S69/433</f>
        <v>1.1824480369515011</v>
      </c>
      <c r="V69" s="27">
        <f t="shared" si="12"/>
        <v>0.92941959826878262</v>
      </c>
      <c r="W69" s="11"/>
      <c r="X69" s="11"/>
      <c r="Y69" s="11"/>
      <c r="Z69" s="11"/>
      <c r="AA69" s="20" t="s">
        <v>130</v>
      </c>
      <c r="AB69" s="88"/>
      <c r="AC69" s="22"/>
      <c r="AD69" s="44"/>
      <c r="AE69" s="88"/>
    </row>
    <row r="70" spans="1:31" ht="50" hidden="1">
      <c r="A70" s="56"/>
      <c r="B70" s="48"/>
      <c r="C70" s="59" t="s">
        <v>131</v>
      </c>
      <c r="D70" s="59" t="s">
        <v>107</v>
      </c>
      <c r="E70" s="20"/>
      <c r="F70" s="51"/>
      <c r="G70" s="59"/>
      <c r="H70" s="59"/>
      <c r="I70" s="20" t="s">
        <v>132</v>
      </c>
      <c r="J70" s="51">
        <v>31680000</v>
      </c>
      <c r="K70" s="61">
        <v>205</v>
      </c>
      <c r="L70" s="41">
        <v>0</v>
      </c>
      <c r="M70" s="20">
        <v>156</v>
      </c>
      <c r="N70" s="82">
        <v>3870000</v>
      </c>
      <c r="O70" s="89"/>
      <c r="P70" s="86"/>
      <c r="Q70" s="20"/>
      <c r="R70" s="80"/>
      <c r="S70" s="62">
        <f t="shared" ref="S70:T70" si="20">K70+M70+O70+Q70</f>
        <v>361</v>
      </c>
      <c r="T70" s="18">
        <f t="shared" si="20"/>
        <v>3870000</v>
      </c>
      <c r="U70" s="27">
        <f>S70/796</f>
        <v>0.45351758793969849</v>
      </c>
      <c r="V70" s="27">
        <f t="shared" si="12"/>
        <v>0.12215909090909091</v>
      </c>
      <c r="W70" s="11"/>
      <c r="X70" s="11"/>
      <c r="Y70" s="11"/>
      <c r="Z70" s="11"/>
      <c r="AA70" s="20" t="s">
        <v>133</v>
      </c>
      <c r="AC70" s="22"/>
      <c r="AD70" s="44"/>
    </row>
    <row r="71" spans="1:31" ht="37.5" hidden="1">
      <c r="A71" s="56"/>
      <c r="B71" s="48"/>
      <c r="C71" s="59" t="s">
        <v>134</v>
      </c>
      <c r="D71" s="59" t="s">
        <v>107</v>
      </c>
      <c r="E71" s="20"/>
      <c r="F71" s="51"/>
      <c r="G71" s="59"/>
      <c r="H71" s="59"/>
      <c r="I71" s="20" t="s">
        <v>135</v>
      </c>
      <c r="J71" s="51">
        <v>8000000</v>
      </c>
      <c r="K71" s="61">
        <v>305</v>
      </c>
      <c r="L71" s="41">
        <v>0</v>
      </c>
      <c r="M71" s="20">
        <v>212</v>
      </c>
      <c r="N71" s="82">
        <v>0</v>
      </c>
      <c r="O71" s="89"/>
      <c r="P71" s="86"/>
      <c r="Q71" s="20"/>
      <c r="R71" s="80"/>
      <c r="S71" s="62">
        <f t="shared" ref="S71:T71" si="21">K71+M71+O71+Q71</f>
        <v>517</v>
      </c>
      <c r="T71" s="18">
        <f t="shared" si="21"/>
        <v>0</v>
      </c>
      <c r="U71" s="27">
        <f>S71/1149</f>
        <v>0.44995648389904264</v>
      </c>
      <c r="V71" s="27">
        <f t="shared" si="12"/>
        <v>0</v>
      </c>
      <c r="W71" s="11"/>
      <c r="X71" s="11"/>
      <c r="Y71" s="11"/>
      <c r="Z71" s="11"/>
      <c r="AA71" s="20" t="s">
        <v>136</v>
      </c>
      <c r="AC71" s="22"/>
      <c r="AD71" s="44"/>
    </row>
    <row r="72" spans="1:31" ht="37.5" hidden="1">
      <c r="A72" s="56"/>
      <c r="B72" s="48"/>
      <c r="C72" s="59" t="s">
        <v>137</v>
      </c>
      <c r="D72" s="59" t="s">
        <v>107</v>
      </c>
      <c r="E72" s="20"/>
      <c r="F72" s="51"/>
      <c r="G72" s="59"/>
      <c r="H72" s="59"/>
      <c r="I72" s="20" t="s">
        <v>138</v>
      </c>
      <c r="J72" s="51">
        <v>7300000</v>
      </c>
      <c r="K72" s="61">
        <v>278</v>
      </c>
      <c r="L72" s="41">
        <v>0</v>
      </c>
      <c r="M72" s="20">
        <v>164</v>
      </c>
      <c r="N72" s="82">
        <v>3680000</v>
      </c>
      <c r="O72" s="89"/>
      <c r="P72" s="86"/>
      <c r="Q72" s="20"/>
      <c r="R72" s="80"/>
      <c r="S72" s="62">
        <f t="shared" ref="S72:T72" si="22">K72+M72+O72+Q72</f>
        <v>442</v>
      </c>
      <c r="T72" s="18">
        <f t="shared" si="22"/>
        <v>3680000</v>
      </c>
      <c r="U72" s="27">
        <f>S72/820</f>
        <v>0.53902439024390247</v>
      </c>
      <c r="V72" s="27">
        <f t="shared" si="12"/>
        <v>0.50410958904109593</v>
      </c>
      <c r="W72" s="11"/>
      <c r="X72" s="11"/>
      <c r="Y72" s="11"/>
      <c r="Z72" s="11"/>
      <c r="AA72" s="20" t="s">
        <v>139</v>
      </c>
      <c r="AC72" s="22"/>
      <c r="AD72" s="44"/>
    </row>
    <row r="73" spans="1:31" ht="37.5" hidden="1">
      <c r="A73" s="56"/>
      <c r="B73" s="48"/>
      <c r="C73" s="59" t="s">
        <v>140</v>
      </c>
      <c r="D73" s="59" t="s">
        <v>107</v>
      </c>
      <c r="E73" s="20"/>
      <c r="F73" s="51"/>
      <c r="G73" s="59"/>
      <c r="H73" s="59"/>
      <c r="I73" s="20" t="s">
        <v>141</v>
      </c>
      <c r="J73" s="51">
        <v>32080000</v>
      </c>
      <c r="K73" s="61">
        <v>238</v>
      </c>
      <c r="L73" s="41">
        <v>0</v>
      </c>
      <c r="M73" s="20">
        <v>132</v>
      </c>
      <c r="N73" s="82">
        <v>4108000</v>
      </c>
      <c r="O73" s="89"/>
      <c r="P73" s="86"/>
      <c r="Q73" s="20"/>
      <c r="R73" s="80"/>
      <c r="S73" s="62">
        <f t="shared" ref="S73:T73" si="23">K73+M73+O73+Q73</f>
        <v>370</v>
      </c>
      <c r="T73" s="18">
        <f t="shared" si="23"/>
        <v>4108000</v>
      </c>
      <c r="U73" s="27">
        <f>S73/1083</f>
        <v>0.34164358264081257</v>
      </c>
      <c r="V73" s="27">
        <f t="shared" si="12"/>
        <v>0.12805486284289277</v>
      </c>
      <c r="W73" s="11"/>
      <c r="X73" s="11"/>
      <c r="Y73" s="11"/>
      <c r="Z73" s="11"/>
      <c r="AA73" s="20" t="s">
        <v>142</v>
      </c>
      <c r="AC73" s="22"/>
      <c r="AD73" s="44"/>
    </row>
    <row r="74" spans="1:31" ht="37.5" hidden="1">
      <c r="A74" s="56"/>
      <c r="B74" s="48"/>
      <c r="C74" s="59" t="s">
        <v>143</v>
      </c>
      <c r="D74" s="59" t="s">
        <v>107</v>
      </c>
      <c r="E74" s="20"/>
      <c r="F74" s="51"/>
      <c r="G74" s="59"/>
      <c r="H74" s="59"/>
      <c r="I74" s="20" t="s">
        <v>144</v>
      </c>
      <c r="J74" s="51">
        <v>14240000</v>
      </c>
      <c r="K74" s="61">
        <v>177</v>
      </c>
      <c r="L74" s="41">
        <v>0</v>
      </c>
      <c r="M74" s="20">
        <v>131</v>
      </c>
      <c r="N74" s="82">
        <v>0</v>
      </c>
      <c r="O74" s="89"/>
      <c r="P74" s="86"/>
      <c r="Q74" s="20"/>
      <c r="R74" s="80"/>
      <c r="S74" s="62">
        <f t="shared" ref="S74:T74" si="24">K74+M74+O74+Q74</f>
        <v>308</v>
      </c>
      <c r="T74" s="18">
        <f t="shared" si="24"/>
        <v>0</v>
      </c>
      <c r="U74" s="27">
        <f>S74/701</f>
        <v>0.43937232524964337</v>
      </c>
      <c r="V74" s="27">
        <f t="shared" si="12"/>
        <v>0</v>
      </c>
      <c r="W74" s="11"/>
      <c r="X74" s="11"/>
      <c r="Y74" s="11"/>
      <c r="Z74" s="11"/>
      <c r="AA74" s="20" t="s">
        <v>145</v>
      </c>
      <c r="AC74" s="22"/>
      <c r="AD74" s="44"/>
    </row>
    <row r="75" spans="1:31" ht="37.5" hidden="1">
      <c r="A75" s="56"/>
      <c r="B75" s="48"/>
      <c r="C75" s="59" t="s">
        <v>146</v>
      </c>
      <c r="D75" s="59" t="s">
        <v>107</v>
      </c>
      <c r="E75" s="20"/>
      <c r="F75" s="51"/>
      <c r="G75" s="59"/>
      <c r="H75" s="59"/>
      <c r="I75" s="20" t="s">
        <v>147</v>
      </c>
      <c r="J75" s="51">
        <v>81390000</v>
      </c>
      <c r="K75" s="61">
        <v>257</v>
      </c>
      <c r="L75" s="41">
        <v>0</v>
      </c>
      <c r="M75" s="20">
        <v>165</v>
      </c>
      <c r="N75" s="82">
        <v>11725000</v>
      </c>
      <c r="O75" s="89"/>
      <c r="P75" s="86"/>
      <c r="Q75" s="20"/>
      <c r="R75" s="80"/>
      <c r="S75" s="62">
        <f t="shared" ref="S75:T75" si="25">K75+M75+O75+Q75</f>
        <v>422</v>
      </c>
      <c r="T75" s="18">
        <f t="shared" si="25"/>
        <v>11725000</v>
      </c>
      <c r="U75" s="27">
        <f>S75/983</f>
        <v>0.42929806714140384</v>
      </c>
      <c r="V75" s="27">
        <f t="shared" si="12"/>
        <v>0.14405946676495884</v>
      </c>
      <c r="W75" s="11"/>
      <c r="X75" s="11"/>
      <c r="Y75" s="11"/>
      <c r="Z75" s="11"/>
      <c r="AA75" s="20" t="s">
        <v>148</v>
      </c>
      <c r="AC75" s="22"/>
      <c r="AD75" s="44"/>
    </row>
    <row r="76" spans="1:31" ht="37.5" hidden="1">
      <c r="A76" s="56"/>
      <c r="B76" s="48"/>
      <c r="C76" s="59" t="s">
        <v>149</v>
      </c>
      <c r="D76" s="59" t="s">
        <v>107</v>
      </c>
      <c r="E76" s="20"/>
      <c r="F76" s="51"/>
      <c r="G76" s="59"/>
      <c r="H76" s="59"/>
      <c r="I76" s="20" t="s">
        <v>150</v>
      </c>
      <c r="J76" s="51">
        <v>48200000</v>
      </c>
      <c r="K76" s="61">
        <v>129</v>
      </c>
      <c r="L76" s="41">
        <v>0</v>
      </c>
      <c r="M76" s="20">
        <v>78</v>
      </c>
      <c r="N76" s="82">
        <v>0</v>
      </c>
      <c r="O76" s="89"/>
      <c r="P76" s="86"/>
      <c r="Q76" s="20"/>
      <c r="R76" s="80"/>
      <c r="S76" s="62">
        <f t="shared" ref="S76:T76" si="26">K76+M76+O76+Q76</f>
        <v>207</v>
      </c>
      <c r="T76" s="18">
        <f t="shared" si="26"/>
        <v>0</v>
      </c>
      <c r="U76" s="27">
        <f>S76/600</f>
        <v>0.34499999999999997</v>
      </c>
      <c r="V76" s="27">
        <f t="shared" si="12"/>
        <v>0</v>
      </c>
      <c r="W76" s="11"/>
      <c r="X76" s="11"/>
      <c r="Y76" s="11"/>
      <c r="Z76" s="11"/>
      <c r="AA76" s="20" t="s">
        <v>151</v>
      </c>
      <c r="AC76" s="22"/>
      <c r="AD76" s="44"/>
    </row>
    <row r="77" spans="1:31" ht="37.5" hidden="1">
      <c r="A77" s="56"/>
      <c r="B77" s="48"/>
      <c r="C77" s="59" t="s">
        <v>152</v>
      </c>
      <c r="D77" s="59" t="s">
        <v>107</v>
      </c>
      <c r="E77" s="20"/>
      <c r="F77" s="51"/>
      <c r="G77" s="59"/>
      <c r="H77" s="59"/>
      <c r="I77" s="20" t="s">
        <v>153</v>
      </c>
      <c r="J77" s="51">
        <v>33014800</v>
      </c>
      <c r="K77" s="61">
        <v>132</v>
      </c>
      <c r="L77" s="41">
        <v>0</v>
      </c>
      <c r="M77" s="20">
        <v>102</v>
      </c>
      <c r="N77" s="82">
        <v>1274000</v>
      </c>
      <c r="O77" s="89"/>
      <c r="P77" s="86"/>
      <c r="Q77" s="20"/>
      <c r="R77" s="80"/>
      <c r="S77" s="62">
        <f t="shared" ref="S77:T77" si="27">K77+M77+O77+Q77</f>
        <v>234</v>
      </c>
      <c r="T77" s="18">
        <f t="shared" si="27"/>
        <v>1274000</v>
      </c>
      <c r="U77" s="27">
        <f>S77/509</f>
        <v>0.45972495088408644</v>
      </c>
      <c r="V77" s="27">
        <f t="shared" si="12"/>
        <v>3.8588754134509372E-2</v>
      </c>
      <c r="W77" s="11"/>
      <c r="X77" s="11"/>
      <c r="Y77" s="11"/>
      <c r="Z77" s="11"/>
      <c r="AA77" s="20" t="s">
        <v>154</v>
      </c>
      <c r="AC77" s="22"/>
      <c r="AD77" s="44"/>
    </row>
    <row r="78" spans="1:31" ht="37.5" hidden="1">
      <c r="A78" s="56"/>
      <c r="B78" s="48"/>
      <c r="C78" s="59" t="s">
        <v>155</v>
      </c>
      <c r="D78" s="59" t="s">
        <v>107</v>
      </c>
      <c r="E78" s="20"/>
      <c r="F78" s="51"/>
      <c r="G78" s="59"/>
      <c r="H78" s="59"/>
      <c r="I78" s="20" t="s">
        <v>156</v>
      </c>
      <c r="J78" s="51">
        <v>26496000</v>
      </c>
      <c r="K78" s="61">
        <v>108</v>
      </c>
      <c r="L78" s="41">
        <v>0</v>
      </c>
      <c r="M78" s="20">
        <v>66</v>
      </c>
      <c r="N78" s="82">
        <v>5334000</v>
      </c>
      <c r="O78" s="89"/>
      <c r="P78" s="86"/>
      <c r="Q78" s="20"/>
      <c r="R78" s="80"/>
      <c r="S78" s="62">
        <f t="shared" ref="S78:T78" si="28">K78+M78+O78+Q78</f>
        <v>174</v>
      </c>
      <c r="T78" s="18">
        <f t="shared" si="28"/>
        <v>5334000</v>
      </c>
      <c r="U78" s="27">
        <f>S78/453</f>
        <v>0.38410596026490068</v>
      </c>
      <c r="V78" s="27">
        <f t="shared" si="12"/>
        <v>0.20131340579710144</v>
      </c>
      <c r="W78" s="11"/>
      <c r="X78" s="11"/>
      <c r="Y78" s="11"/>
      <c r="Z78" s="11"/>
      <c r="AA78" s="20" t="s">
        <v>157</v>
      </c>
      <c r="AC78" s="22"/>
      <c r="AD78" s="44"/>
    </row>
    <row r="79" spans="1:31" ht="37.5" hidden="1">
      <c r="A79" s="56"/>
      <c r="B79" s="48"/>
      <c r="C79" s="59" t="s">
        <v>158</v>
      </c>
      <c r="D79" s="59" t="s">
        <v>159</v>
      </c>
      <c r="E79" s="20" t="s">
        <v>160</v>
      </c>
      <c r="F79" s="51">
        <v>456003750</v>
      </c>
      <c r="G79" s="59"/>
      <c r="H79" s="59"/>
      <c r="I79" s="20" t="s">
        <v>161</v>
      </c>
      <c r="J79" s="51">
        <v>109060000</v>
      </c>
      <c r="K79" s="61">
        <v>2515</v>
      </c>
      <c r="L79" s="41">
        <v>4000000</v>
      </c>
      <c r="M79" s="20">
        <v>2979</v>
      </c>
      <c r="N79" s="82">
        <f>45050000-L79</f>
        <v>41050000</v>
      </c>
      <c r="O79" s="89"/>
      <c r="P79" s="86">
        <f>51050000-L79-N79</f>
        <v>6000000</v>
      </c>
      <c r="Q79" s="20"/>
      <c r="R79" s="80"/>
      <c r="S79" s="62">
        <f t="shared" ref="S79:T79" si="29">K79+M79+O79+Q79</f>
        <v>5494</v>
      </c>
      <c r="T79" s="18">
        <f t="shared" si="29"/>
        <v>51050000</v>
      </c>
      <c r="U79" s="27">
        <f>S79/11928</f>
        <v>0.46059691482226695</v>
      </c>
      <c r="V79" s="27">
        <f t="shared" si="12"/>
        <v>0.46809095910507975</v>
      </c>
      <c r="W79" s="11"/>
      <c r="X79" s="11"/>
      <c r="Y79" s="11"/>
      <c r="Z79" s="11"/>
      <c r="AA79" s="20" t="s">
        <v>56</v>
      </c>
      <c r="AC79" s="22"/>
      <c r="AD79" s="44"/>
    </row>
    <row r="80" spans="1:31" ht="37.5" hidden="1">
      <c r="A80" s="56"/>
      <c r="B80" s="48"/>
      <c r="C80" s="59" t="s">
        <v>162</v>
      </c>
      <c r="D80" s="59" t="s">
        <v>159</v>
      </c>
      <c r="E80" s="20"/>
      <c r="F80" s="51"/>
      <c r="G80" s="59"/>
      <c r="H80" s="59"/>
      <c r="I80" s="20" t="s">
        <v>163</v>
      </c>
      <c r="J80" s="51">
        <v>19685000</v>
      </c>
      <c r="K80" s="61">
        <v>251</v>
      </c>
      <c r="L80" s="41">
        <v>0</v>
      </c>
      <c r="M80" s="20">
        <v>170</v>
      </c>
      <c r="N80" s="82">
        <v>1380000</v>
      </c>
      <c r="O80" s="89"/>
      <c r="P80" s="86"/>
      <c r="Q80" s="20"/>
      <c r="R80" s="80"/>
      <c r="S80" s="62">
        <f t="shared" ref="S80:T80" si="30">K80+M80+O80+Q80</f>
        <v>421</v>
      </c>
      <c r="T80" s="18">
        <f t="shared" si="30"/>
        <v>1380000</v>
      </c>
      <c r="U80" s="27">
        <f>S80/1202</f>
        <v>0.35024958402662232</v>
      </c>
      <c r="V80" s="27">
        <f t="shared" si="12"/>
        <v>7.0104140208280416E-2</v>
      </c>
      <c r="W80" s="11"/>
      <c r="X80" s="11"/>
      <c r="Y80" s="11"/>
      <c r="Z80" s="11"/>
      <c r="AA80" s="20" t="s">
        <v>112</v>
      </c>
      <c r="AC80" s="22"/>
      <c r="AD80" s="44"/>
    </row>
    <row r="81" spans="1:31" ht="37.5" hidden="1">
      <c r="A81" s="56"/>
      <c r="B81" s="48"/>
      <c r="C81" s="59" t="s">
        <v>164</v>
      </c>
      <c r="D81" s="59" t="s">
        <v>159</v>
      </c>
      <c r="E81" s="20"/>
      <c r="F81" s="51"/>
      <c r="G81" s="59"/>
      <c r="H81" s="59"/>
      <c r="I81" s="20" t="s">
        <v>165</v>
      </c>
      <c r="J81" s="51">
        <v>10770000</v>
      </c>
      <c r="K81" s="61">
        <v>143</v>
      </c>
      <c r="L81" s="41">
        <v>0</v>
      </c>
      <c r="M81" s="20">
        <v>110</v>
      </c>
      <c r="N81" s="82">
        <v>0</v>
      </c>
      <c r="O81" s="89"/>
      <c r="P81" s="86"/>
      <c r="Q81" s="20"/>
      <c r="R81" s="80"/>
      <c r="S81" s="62">
        <f t="shared" ref="S81:T81" si="31">K81+M81+O81+Q81</f>
        <v>253</v>
      </c>
      <c r="T81" s="18">
        <f t="shared" si="31"/>
        <v>0</v>
      </c>
      <c r="U81" s="27">
        <f>S81/881</f>
        <v>0.28717366628830876</v>
      </c>
      <c r="V81" s="27">
        <f t="shared" si="12"/>
        <v>0</v>
      </c>
      <c r="W81" s="11"/>
      <c r="X81" s="11"/>
      <c r="Y81" s="11"/>
      <c r="Z81" s="11"/>
      <c r="AA81" s="20" t="s">
        <v>115</v>
      </c>
      <c r="AC81" s="22"/>
      <c r="AD81" s="44"/>
    </row>
    <row r="82" spans="1:31" ht="37.5" hidden="1">
      <c r="A82" s="56"/>
      <c r="B82" s="48"/>
      <c r="C82" s="59" t="s">
        <v>166</v>
      </c>
      <c r="D82" s="59" t="s">
        <v>159</v>
      </c>
      <c r="E82" s="20"/>
      <c r="F82" s="51"/>
      <c r="G82" s="59"/>
      <c r="H82" s="59"/>
      <c r="I82" s="20" t="s">
        <v>167</v>
      </c>
      <c r="J82" s="51">
        <v>52260000</v>
      </c>
      <c r="K82" s="61">
        <v>194</v>
      </c>
      <c r="L82" s="41">
        <v>0</v>
      </c>
      <c r="M82" s="20">
        <v>136</v>
      </c>
      <c r="N82" s="82">
        <v>11055000</v>
      </c>
      <c r="O82" s="89"/>
      <c r="P82" s="86"/>
      <c r="Q82" s="20"/>
      <c r="R82" s="80"/>
      <c r="S82" s="62">
        <f t="shared" ref="S82:T82" si="32">K82+M82+O82+Q82</f>
        <v>330</v>
      </c>
      <c r="T82" s="18">
        <f t="shared" si="32"/>
        <v>11055000</v>
      </c>
      <c r="U82" s="27">
        <f>S82/790</f>
        <v>0.41772151898734178</v>
      </c>
      <c r="V82" s="27">
        <f t="shared" si="12"/>
        <v>0.21153846153846154</v>
      </c>
      <c r="W82" s="11"/>
      <c r="X82" s="11"/>
      <c r="Y82" s="11"/>
      <c r="Z82" s="11"/>
      <c r="AA82" s="20" t="s">
        <v>118</v>
      </c>
      <c r="AC82" s="22"/>
      <c r="AD82" s="44"/>
    </row>
    <row r="83" spans="1:31" ht="37.5" hidden="1">
      <c r="A83" s="56"/>
      <c r="B83" s="48"/>
      <c r="C83" s="59" t="s">
        <v>168</v>
      </c>
      <c r="D83" s="59" t="s">
        <v>159</v>
      </c>
      <c r="E83" s="20"/>
      <c r="F83" s="51"/>
      <c r="G83" s="59"/>
      <c r="H83" s="59"/>
      <c r="I83" s="20" t="s">
        <v>169</v>
      </c>
      <c r="J83" s="51">
        <v>42084000</v>
      </c>
      <c r="K83" s="61">
        <v>167</v>
      </c>
      <c r="L83" s="41">
        <v>0</v>
      </c>
      <c r="M83" s="20">
        <v>96</v>
      </c>
      <c r="N83" s="82">
        <v>0</v>
      </c>
      <c r="O83" s="89"/>
      <c r="P83" s="86"/>
      <c r="Q83" s="20"/>
      <c r="R83" s="80"/>
      <c r="S83" s="62">
        <f t="shared" ref="S83:T83" si="33">K83+M83+O83+Q83</f>
        <v>263</v>
      </c>
      <c r="T83" s="18">
        <f t="shared" si="33"/>
        <v>0</v>
      </c>
      <c r="U83" s="27">
        <f>S83/684</f>
        <v>0.38450292397660818</v>
      </c>
      <c r="V83" s="27">
        <f t="shared" si="12"/>
        <v>0</v>
      </c>
      <c r="W83" s="11"/>
      <c r="X83" s="11"/>
      <c r="Y83" s="11"/>
      <c r="Z83" s="11"/>
      <c r="AA83" s="20" t="s">
        <v>121</v>
      </c>
      <c r="AC83" s="22"/>
      <c r="AD83" s="44"/>
    </row>
    <row r="84" spans="1:31" ht="37.5" hidden="1">
      <c r="A84" s="56"/>
      <c r="B84" s="48"/>
      <c r="C84" s="59" t="s">
        <v>170</v>
      </c>
      <c r="D84" s="59" t="s">
        <v>159</v>
      </c>
      <c r="E84" s="20"/>
      <c r="F84" s="51"/>
      <c r="G84" s="59"/>
      <c r="H84" s="59"/>
      <c r="I84" s="20" t="s">
        <v>171</v>
      </c>
      <c r="J84" s="51">
        <v>16602000</v>
      </c>
      <c r="K84" s="61">
        <v>77</v>
      </c>
      <c r="L84" s="41">
        <v>0</v>
      </c>
      <c r="M84" s="20">
        <v>63</v>
      </c>
      <c r="N84" s="82">
        <v>0</v>
      </c>
      <c r="O84" s="89"/>
      <c r="P84" s="86"/>
      <c r="Q84" s="20"/>
      <c r="R84" s="80"/>
      <c r="S84" s="62">
        <f t="shared" ref="S84:T84" si="34">K84+M84+O84+Q84</f>
        <v>140</v>
      </c>
      <c r="T84" s="18">
        <f t="shared" si="34"/>
        <v>0</v>
      </c>
      <c r="U84" s="27">
        <f>S84/443</f>
        <v>0.3160270880361174</v>
      </c>
      <c r="V84" s="27">
        <f t="shared" si="12"/>
        <v>0</v>
      </c>
      <c r="W84" s="11"/>
      <c r="X84" s="11"/>
      <c r="Y84" s="11"/>
      <c r="Z84" s="11"/>
      <c r="AA84" s="20" t="s">
        <v>124</v>
      </c>
      <c r="AC84" s="22"/>
      <c r="AD84" s="44"/>
    </row>
    <row r="85" spans="1:31" ht="50" hidden="1">
      <c r="A85" s="56"/>
      <c r="B85" s="48"/>
      <c r="C85" s="59" t="s">
        <v>172</v>
      </c>
      <c r="D85" s="59" t="s">
        <v>159</v>
      </c>
      <c r="E85" s="20"/>
      <c r="F85" s="51"/>
      <c r="G85" s="59"/>
      <c r="H85" s="59"/>
      <c r="I85" s="20" t="s">
        <v>173</v>
      </c>
      <c r="J85" s="51">
        <v>11856000</v>
      </c>
      <c r="K85" s="61">
        <v>46</v>
      </c>
      <c r="L85" s="41">
        <v>0</v>
      </c>
      <c r="M85" s="20">
        <v>40</v>
      </c>
      <c r="N85" s="82">
        <v>5025000</v>
      </c>
      <c r="O85" s="89"/>
      <c r="P85" s="86"/>
      <c r="Q85" s="20"/>
      <c r="R85" s="80"/>
      <c r="S85" s="62">
        <f t="shared" ref="S85:T85" si="35">K85+M85+O85+Q85</f>
        <v>86</v>
      </c>
      <c r="T85" s="18">
        <f t="shared" si="35"/>
        <v>5025000</v>
      </c>
      <c r="U85" s="27">
        <f>S85/310</f>
        <v>0.27741935483870966</v>
      </c>
      <c r="V85" s="27">
        <f t="shared" si="12"/>
        <v>0.42383603238866396</v>
      </c>
      <c r="W85" s="11"/>
      <c r="X85" s="11"/>
      <c r="Y85" s="11"/>
      <c r="Z85" s="11"/>
      <c r="AA85" s="20" t="s">
        <v>127</v>
      </c>
      <c r="AC85" s="22"/>
      <c r="AD85" s="44"/>
    </row>
    <row r="86" spans="1:31" ht="37.5">
      <c r="A86" s="56"/>
      <c r="B86" s="48"/>
      <c r="C86" s="59" t="s">
        <v>174</v>
      </c>
      <c r="D86" s="59" t="s">
        <v>159</v>
      </c>
      <c r="E86" s="20"/>
      <c r="F86" s="51"/>
      <c r="G86" s="59"/>
      <c r="H86" s="59"/>
      <c r="I86" s="20" t="s">
        <v>175</v>
      </c>
      <c r="J86" s="51">
        <v>10216000</v>
      </c>
      <c r="K86" s="61">
        <v>48</v>
      </c>
      <c r="L86" s="41">
        <v>0</v>
      </c>
      <c r="M86" s="20">
        <v>69</v>
      </c>
      <c r="N86" s="82">
        <v>0</v>
      </c>
      <c r="O86" s="86">
        <v>161</v>
      </c>
      <c r="P86" s="86">
        <v>8040000</v>
      </c>
      <c r="Q86" s="20">
        <v>165</v>
      </c>
      <c r="R86" s="80">
        <v>0</v>
      </c>
      <c r="S86" s="87">
        <f t="shared" ref="S86:T86" si="36">K86+M86+O86+Q86</f>
        <v>443</v>
      </c>
      <c r="T86" s="18">
        <f t="shared" si="36"/>
        <v>8040000</v>
      </c>
      <c r="U86" s="27">
        <f>S86/413</f>
        <v>1.0726392251815982</v>
      </c>
      <c r="V86" s="27">
        <f t="shared" si="12"/>
        <v>0.78700078308535626</v>
      </c>
      <c r="W86" s="11"/>
      <c r="X86" s="11"/>
      <c r="Y86" s="11"/>
      <c r="Z86" s="11"/>
      <c r="AA86" s="20" t="s">
        <v>130</v>
      </c>
      <c r="AB86" s="88"/>
      <c r="AC86" s="22"/>
      <c r="AD86" s="44"/>
      <c r="AE86" s="88"/>
    </row>
    <row r="87" spans="1:31" ht="50" hidden="1">
      <c r="A87" s="56"/>
      <c r="B87" s="48"/>
      <c r="C87" s="59" t="s">
        <v>176</v>
      </c>
      <c r="D87" s="59" t="s">
        <v>159</v>
      </c>
      <c r="E87" s="20"/>
      <c r="F87" s="51"/>
      <c r="G87" s="59"/>
      <c r="H87" s="59"/>
      <c r="I87" s="20" t="s">
        <v>177</v>
      </c>
      <c r="J87" s="51">
        <v>10050000</v>
      </c>
      <c r="K87" s="61">
        <v>177</v>
      </c>
      <c r="L87" s="41">
        <v>0</v>
      </c>
      <c r="M87" s="20">
        <v>141</v>
      </c>
      <c r="N87" s="82">
        <v>0</v>
      </c>
      <c r="O87" s="86"/>
      <c r="P87" s="86"/>
      <c r="Q87" s="20"/>
      <c r="R87" s="80"/>
      <c r="S87" s="87">
        <f t="shared" ref="S87:T87" si="37">K87+M87+O87+Q87</f>
        <v>318</v>
      </c>
      <c r="T87" s="18">
        <f t="shared" si="37"/>
        <v>0</v>
      </c>
      <c r="U87" s="27">
        <f>S87/925</f>
        <v>0.34378378378378377</v>
      </c>
      <c r="V87" s="27">
        <f t="shared" si="12"/>
        <v>0</v>
      </c>
      <c r="W87" s="11"/>
      <c r="X87" s="11"/>
      <c r="Y87" s="11"/>
      <c r="Z87" s="11"/>
      <c r="AA87" s="20" t="s">
        <v>133</v>
      </c>
      <c r="AB87" s="88"/>
      <c r="AC87" s="22"/>
      <c r="AD87" s="44"/>
      <c r="AE87" s="88"/>
    </row>
    <row r="88" spans="1:31" ht="37.5" hidden="1">
      <c r="A88" s="56"/>
      <c r="B88" s="48"/>
      <c r="C88" s="59" t="s">
        <v>178</v>
      </c>
      <c r="D88" s="59" t="s">
        <v>159</v>
      </c>
      <c r="E88" s="20"/>
      <c r="F88" s="51"/>
      <c r="G88" s="59"/>
      <c r="H88" s="59"/>
      <c r="I88" s="20" t="s">
        <v>179</v>
      </c>
      <c r="J88" s="51">
        <v>26700000</v>
      </c>
      <c r="K88" s="61">
        <v>257</v>
      </c>
      <c r="L88" s="41">
        <v>0</v>
      </c>
      <c r="M88" s="20">
        <v>248</v>
      </c>
      <c r="N88" s="82">
        <v>0</v>
      </c>
      <c r="O88" s="86"/>
      <c r="P88" s="86"/>
      <c r="Q88" s="20"/>
      <c r="R88" s="80"/>
      <c r="S88" s="87">
        <f t="shared" ref="S88:T88" si="38">K88+M88+O88+Q88</f>
        <v>505</v>
      </c>
      <c r="T88" s="18">
        <f t="shared" si="38"/>
        <v>0</v>
      </c>
      <c r="U88" s="27">
        <f>S88/1097</f>
        <v>0.46034639927073839</v>
      </c>
      <c r="V88" s="27">
        <f t="shared" si="12"/>
        <v>0</v>
      </c>
      <c r="W88" s="11"/>
      <c r="X88" s="11"/>
      <c r="Y88" s="11"/>
      <c r="Z88" s="11"/>
      <c r="AA88" s="20" t="s">
        <v>136</v>
      </c>
      <c r="AB88" s="88"/>
      <c r="AC88" s="22"/>
      <c r="AD88" s="44"/>
      <c r="AE88" s="88"/>
    </row>
    <row r="89" spans="1:31" ht="37.5" hidden="1">
      <c r="A89" s="56"/>
      <c r="B89" s="48"/>
      <c r="C89" s="59" t="s">
        <v>180</v>
      </c>
      <c r="D89" s="59" t="s">
        <v>159</v>
      </c>
      <c r="E89" s="20"/>
      <c r="F89" s="51"/>
      <c r="G89" s="59"/>
      <c r="H89" s="59"/>
      <c r="I89" s="20" t="s">
        <v>181</v>
      </c>
      <c r="J89" s="51">
        <v>8820000</v>
      </c>
      <c r="K89" s="61">
        <v>158</v>
      </c>
      <c r="L89" s="41">
        <v>0</v>
      </c>
      <c r="M89" s="20">
        <v>142</v>
      </c>
      <c r="N89" s="82">
        <v>0</v>
      </c>
      <c r="O89" s="86"/>
      <c r="P89" s="86"/>
      <c r="Q89" s="20"/>
      <c r="R89" s="80"/>
      <c r="S89" s="87">
        <f t="shared" ref="S89:T89" si="39">K89+M89+O89+Q89</f>
        <v>300</v>
      </c>
      <c r="T89" s="18">
        <f t="shared" si="39"/>
        <v>0</v>
      </c>
      <c r="U89" s="27">
        <f>S89/784</f>
        <v>0.38265306122448978</v>
      </c>
      <c r="V89" s="27">
        <f t="shared" si="12"/>
        <v>0</v>
      </c>
      <c r="W89" s="11"/>
      <c r="X89" s="11"/>
      <c r="Y89" s="11"/>
      <c r="Z89" s="11"/>
      <c r="AA89" s="20" t="s">
        <v>139</v>
      </c>
      <c r="AB89" s="88"/>
      <c r="AC89" s="22"/>
      <c r="AD89" s="44"/>
      <c r="AE89" s="88"/>
    </row>
    <row r="90" spans="1:31" ht="37.5" hidden="1">
      <c r="A90" s="56"/>
      <c r="B90" s="48"/>
      <c r="C90" s="59" t="s">
        <v>182</v>
      </c>
      <c r="D90" s="59" t="s">
        <v>159</v>
      </c>
      <c r="E90" s="20"/>
      <c r="F90" s="51"/>
      <c r="G90" s="59"/>
      <c r="H90" s="59"/>
      <c r="I90" s="20" t="s">
        <v>183</v>
      </c>
      <c r="J90" s="51">
        <v>6915000</v>
      </c>
      <c r="K90" s="61">
        <v>238</v>
      </c>
      <c r="L90" s="41">
        <v>0</v>
      </c>
      <c r="M90" s="20">
        <v>142</v>
      </c>
      <c r="N90" s="82">
        <v>0</v>
      </c>
      <c r="O90" s="86"/>
      <c r="P90" s="86"/>
      <c r="Q90" s="20"/>
      <c r="R90" s="80"/>
      <c r="S90" s="87">
        <f t="shared" ref="S90:T90" si="40">K90+M90+O90+Q90</f>
        <v>380</v>
      </c>
      <c r="T90" s="18">
        <f t="shared" si="40"/>
        <v>0</v>
      </c>
      <c r="U90" s="27">
        <f>S90/1033</f>
        <v>0.36786060019361083</v>
      </c>
      <c r="V90" s="27">
        <f t="shared" si="12"/>
        <v>0</v>
      </c>
      <c r="W90" s="11"/>
      <c r="X90" s="11"/>
      <c r="Y90" s="11"/>
      <c r="Z90" s="11"/>
      <c r="AA90" s="20" t="s">
        <v>142</v>
      </c>
      <c r="AB90" s="88"/>
      <c r="AC90" s="22"/>
      <c r="AD90" s="44"/>
      <c r="AE90" s="88"/>
    </row>
    <row r="91" spans="1:31" ht="37.5" hidden="1">
      <c r="A91" s="56"/>
      <c r="B91" s="48"/>
      <c r="C91" s="59" t="s">
        <v>184</v>
      </c>
      <c r="D91" s="59" t="s">
        <v>159</v>
      </c>
      <c r="E91" s="20"/>
      <c r="F91" s="51"/>
      <c r="G91" s="59"/>
      <c r="H91" s="59"/>
      <c r="I91" s="20" t="s">
        <v>185</v>
      </c>
      <c r="J91" s="51">
        <v>13060000</v>
      </c>
      <c r="K91" s="61">
        <v>155</v>
      </c>
      <c r="L91" s="41">
        <v>0</v>
      </c>
      <c r="M91" s="20">
        <v>106</v>
      </c>
      <c r="N91" s="82">
        <v>0</v>
      </c>
      <c r="O91" s="86"/>
      <c r="P91" s="86"/>
      <c r="Q91" s="20"/>
      <c r="R91" s="80"/>
      <c r="S91" s="87">
        <f t="shared" ref="S91:T91" si="41">K91+M91+O91+Q91</f>
        <v>261</v>
      </c>
      <c r="T91" s="18">
        <f t="shared" si="41"/>
        <v>0</v>
      </c>
      <c r="U91" s="27">
        <f>S91/669</f>
        <v>0.39013452914798208</v>
      </c>
      <c r="V91" s="27">
        <f t="shared" si="12"/>
        <v>0</v>
      </c>
      <c r="W91" s="11"/>
      <c r="X91" s="11"/>
      <c r="Y91" s="11"/>
      <c r="Z91" s="11"/>
      <c r="AA91" s="20" t="s">
        <v>145</v>
      </c>
      <c r="AB91" s="88"/>
      <c r="AC91" s="22"/>
      <c r="AD91" s="44"/>
      <c r="AE91" s="88"/>
    </row>
    <row r="92" spans="1:31" ht="37.5" hidden="1">
      <c r="A92" s="56"/>
      <c r="B92" s="48"/>
      <c r="C92" s="59" t="s">
        <v>186</v>
      </c>
      <c r="D92" s="59" t="s">
        <v>159</v>
      </c>
      <c r="E92" s="20"/>
      <c r="F92" s="51"/>
      <c r="G92" s="59"/>
      <c r="H92" s="59"/>
      <c r="I92" s="20" t="s">
        <v>187</v>
      </c>
      <c r="J92" s="51">
        <v>24604000</v>
      </c>
      <c r="K92" s="61">
        <v>234</v>
      </c>
      <c r="L92" s="41">
        <v>0</v>
      </c>
      <c r="M92" s="20">
        <v>147</v>
      </c>
      <c r="N92" s="82">
        <v>5226000</v>
      </c>
      <c r="O92" s="86"/>
      <c r="P92" s="86"/>
      <c r="Q92" s="20"/>
      <c r="R92" s="80"/>
      <c r="S92" s="87">
        <f t="shared" ref="S92:T92" si="42">K92+M92+O92+Q92</f>
        <v>381</v>
      </c>
      <c r="T92" s="18">
        <f t="shared" si="42"/>
        <v>5226000</v>
      </c>
      <c r="U92" s="27">
        <f>S92/939</f>
        <v>0.40575079872204473</v>
      </c>
      <c r="V92" s="27">
        <f t="shared" si="12"/>
        <v>0.21240448707527232</v>
      </c>
      <c r="W92" s="11"/>
      <c r="X92" s="11"/>
      <c r="Y92" s="11"/>
      <c r="Z92" s="11"/>
      <c r="AA92" s="20" t="s">
        <v>148</v>
      </c>
      <c r="AB92" s="88"/>
      <c r="AC92" s="22"/>
      <c r="AD92" s="44"/>
      <c r="AE92" s="88"/>
    </row>
    <row r="93" spans="1:31" ht="37.5" hidden="1">
      <c r="A93" s="56"/>
      <c r="B93" s="48"/>
      <c r="C93" s="59" t="s">
        <v>188</v>
      </c>
      <c r="D93" s="59" t="s">
        <v>159</v>
      </c>
      <c r="E93" s="20"/>
      <c r="F93" s="51"/>
      <c r="G93" s="59"/>
      <c r="H93" s="59"/>
      <c r="I93" s="20" t="s">
        <v>150</v>
      </c>
      <c r="J93" s="51">
        <v>16201000</v>
      </c>
      <c r="K93" s="61">
        <v>93</v>
      </c>
      <c r="L93" s="41">
        <v>0</v>
      </c>
      <c r="M93" s="20">
        <v>92</v>
      </c>
      <c r="N93" s="82">
        <v>3815000</v>
      </c>
      <c r="O93" s="86"/>
      <c r="P93" s="86"/>
      <c r="Q93" s="20"/>
      <c r="R93" s="80"/>
      <c r="S93" s="87">
        <f t="shared" ref="S93:T93" si="43">K93+M93+O93+Q93</f>
        <v>185</v>
      </c>
      <c r="T93" s="18">
        <f t="shared" si="43"/>
        <v>3815000</v>
      </c>
      <c r="U93" s="27">
        <f>S93/600</f>
        <v>0.30833333333333335</v>
      </c>
      <c r="V93" s="27">
        <f t="shared" si="12"/>
        <v>0.23547929140176532</v>
      </c>
      <c r="W93" s="11"/>
      <c r="X93" s="11"/>
      <c r="Y93" s="11"/>
      <c r="Z93" s="11"/>
      <c r="AA93" s="20" t="s">
        <v>151</v>
      </c>
      <c r="AB93" s="88"/>
      <c r="AC93" s="22"/>
      <c r="AD93" s="44"/>
      <c r="AE93" s="88"/>
    </row>
    <row r="94" spans="1:31" ht="37.5" hidden="1">
      <c r="A94" s="56"/>
      <c r="B94" s="48"/>
      <c r="C94" s="59" t="s">
        <v>189</v>
      </c>
      <c r="D94" s="59" t="s">
        <v>159</v>
      </c>
      <c r="E94" s="20"/>
      <c r="F94" s="51"/>
      <c r="G94" s="59"/>
      <c r="H94" s="59"/>
      <c r="I94" s="20" t="s">
        <v>190</v>
      </c>
      <c r="J94" s="51">
        <v>3145000</v>
      </c>
      <c r="K94" s="61">
        <v>122</v>
      </c>
      <c r="L94" s="41">
        <v>0</v>
      </c>
      <c r="M94" s="20">
        <v>93</v>
      </c>
      <c r="N94" s="82">
        <v>0</v>
      </c>
      <c r="O94" s="86"/>
      <c r="P94" s="86"/>
      <c r="Q94" s="20"/>
      <c r="R94" s="80"/>
      <c r="S94" s="87">
        <f t="shared" ref="S94:T94" si="44">K94+M94+O94+Q94</f>
        <v>215</v>
      </c>
      <c r="T94" s="18">
        <f t="shared" si="44"/>
        <v>0</v>
      </c>
      <c r="U94" s="27">
        <f>S94/507</f>
        <v>0.42406311637080868</v>
      </c>
      <c r="V94" s="27">
        <f t="shared" si="12"/>
        <v>0</v>
      </c>
      <c r="W94" s="11"/>
      <c r="X94" s="11"/>
      <c r="Y94" s="11"/>
      <c r="Z94" s="11"/>
      <c r="AA94" s="20" t="s">
        <v>154</v>
      </c>
      <c r="AB94" s="88"/>
      <c r="AC94" s="22"/>
      <c r="AD94" s="44"/>
      <c r="AE94" s="88"/>
    </row>
    <row r="95" spans="1:31" ht="37.5" hidden="1">
      <c r="A95" s="56"/>
      <c r="B95" s="48"/>
      <c r="C95" s="59" t="s">
        <v>191</v>
      </c>
      <c r="D95" s="59" t="s">
        <v>159</v>
      </c>
      <c r="E95" s="20"/>
      <c r="F95" s="51"/>
      <c r="G95" s="59"/>
      <c r="H95" s="59"/>
      <c r="I95" s="20" t="s">
        <v>192</v>
      </c>
      <c r="J95" s="51">
        <v>13215000</v>
      </c>
      <c r="K95" s="61">
        <v>103</v>
      </c>
      <c r="L95" s="41">
        <v>0</v>
      </c>
      <c r="M95" s="20">
        <v>74</v>
      </c>
      <c r="N95" s="82">
        <v>0</v>
      </c>
      <c r="O95" s="86"/>
      <c r="P95" s="86"/>
      <c r="Q95" s="20"/>
      <c r="R95" s="80"/>
      <c r="S95" s="87">
        <f t="shared" ref="S95:T95" si="45">K95+M95+O95+Q95</f>
        <v>177</v>
      </c>
      <c r="T95" s="18">
        <f t="shared" si="45"/>
        <v>0</v>
      </c>
      <c r="U95" s="27">
        <f>S95/441</f>
        <v>0.40136054421768708</v>
      </c>
      <c r="V95" s="27">
        <f t="shared" si="12"/>
        <v>0</v>
      </c>
      <c r="W95" s="11"/>
      <c r="X95" s="11"/>
      <c r="Y95" s="11"/>
      <c r="Z95" s="11"/>
      <c r="AA95" s="20" t="s">
        <v>157</v>
      </c>
      <c r="AB95" s="88"/>
      <c r="AC95" s="22"/>
      <c r="AD95" s="44"/>
      <c r="AE95" s="88"/>
    </row>
    <row r="96" spans="1:31" ht="37.5" hidden="1">
      <c r="A96" s="56"/>
      <c r="B96" s="48"/>
      <c r="C96" s="59" t="s">
        <v>193</v>
      </c>
      <c r="D96" s="59" t="s">
        <v>194</v>
      </c>
      <c r="E96" s="20" t="s">
        <v>195</v>
      </c>
      <c r="F96" s="51">
        <v>330096000</v>
      </c>
      <c r="G96" s="59"/>
      <c r="H96" s="59"/>
      <c r="I96" s="20" t="s">
        <v>196</v>
      </c>
      <c r="J96" s="51">
        <v>778787500</v>
      </c>
      <c r="K96" s="61">
        <v>2465</v>
      </c>
      <c r="L96" s="41">
        <v>0</v>
      </c>
      <c r="M96" s="20">
        <v>0</v>
      </c>
      <c r="N96" s="82">
        <f>38675000-L96</f>
        <v>38675000</v>
      </c>
      <c r="O96" s="86"/>
      <c r="P96" s="86">
        <f>42245000-L96-N96</f>
        <v>3570000</v>
      </c>
      <c r="Q96" s="20"/>
      <c r="R96" s="80"/>
      <c r="S96" s="87">
        <f t="shared" ref="S96:T96" si="46">K96+M96+O96+Q96</f>
        <v>2465</v>
      </c>
      <c r="T96" s="18">
        <f t="shared" si="46"/>
        <v>42245000</v>
      </c>
      <c r="U96" s="27">
        <f>S96/11360</f>
        <v>0.21698943661971831</v>
      </c>
      <c r="V96" s="27">
        <f t="shared" si="12"/>
        <v>5.4244578912732933E-2</v>
      </c>
      <c r="W96" s="11"/>
      <c r="X96" s="11"/>
      <c r="Y96" s="11"/>
      <c r="Z96" s="11"/>
      <c r="AA96" s="20" t="s">
        <v>56</v>
      </c>
      <c r="AB96" s="88"/>
      <c r="AC96" s="22"/>
      <c r="AD96" s="44"/>
      <c r="AE96" s="88"/>
    </row>
    <row r="97" spans="1:31" ht="37.5" hidden="1">
      <c r="A97" s="56"/>
      <c r="B97" s="48"/>
      <c r="C97" s="59" t="s">
        <v>197</v>
      </c>
      <c r="D97" s="59" t="s">
        <v>198</v>
      </c>
      <c r="E97" s="20" t="s">
        <v>199</v>
      </c>
      <c r="F97" s="51">
        <v>96952475</v>
      </c>
      <c r="G97" s="59"/>
      <c r="H97" s="59"/>
      <c r="I97" s="20" t="s">
        <v>200</v>
      </c>
      <c r="J97" s="51">
        <v>40450000</v>
      </c>
      <c r="K97" s="61">
        <v>9814</v>
      </c>
      <c r="L97" s="41">
        <v>0</v>
      </c>
      <c r="M97" s="20">
        <v>6515</v>
      </c>
      <c r="N97" s="82">
        <v>0</v>
      </c>
      <c r="O97" s="86"/>
      <c r="P97" s="86">
        <v>0</v>
      </c>
      <c r="Q97" s="20"/>
      <c r="R97" s="80"/>
      <c r="S97" s="87">
        <f t="shared" ref="S97:T97" si="47">K97+M97+O97+Q97</f>
        <v>16329</v>
      </c>
      <c r="T97" s="18">
        <f t="shared" si="47"/>
        <v>0</v>
      </c>
      <c r="U97" s="27">
        <f>S97/46427</f>
        <v>0.35171344260882675</v>
      </c>
      <c r="V97" s="27">
        <f t="shared" si="12"/>
        <v>0</v>
      </c>
      <c r="W97" s="11"/>
      <c r="X97" s="11"/>
      <c r="Y97" s="11"/>
      <c r="Z97" s="11"/>
      <c r="AA97" s="20" t="s">
        <v>56</v>
      </c>
      <c r="AB97" s="88"/>
      <c r="AC97" s="22"/>
      <c r="AD97" s="44"/>
      <c r="AE97" s="88"/>
    </row>
    <row r="98" spans="1:31" ht="50" hidden="1">
      <c r="A98" s="56"/>
      <c r="B98" s="48"/>
      <c r="C98" s="59" t="s">
        <v>201</v>
      </c>
      <c r="D98" s="59" t="s">
        <v>202</v>
      </c>
      <c r="E98" s="20" t="s">
        <v>203</v>
      </c>
      <c r="F98" s="51">
        <v>574474163</v>
      </c>
      <c r="G98" s="59"/>
      <c r="H98" s="59"/>
      <c r="I98" s="20" t="s">
        <v>204</v>
      </c>
      <c r="J98" s="51">
        <v>103840000</v>
      </c>
      <c r="K98" s="61">
        <v>25735</v>
      </c>
      <c r="L98" s="41">
        <v>0</v>
      </c>
      <c r="M98" s="20">
        <v>13169</v>
      </c>
      <c r="N98" s="82">
        <v>0</v>
      </c>
      <c r="O98" s="86"/>
      <c r="P98" s="86">
        <v>0</v>
      </c>
      <c r="Q98" s="20"/>
      <c r="R98" s="80"/>
      <c r="S98" s="87">
        <f t="shared" ref="S98:T98" si="48">K98+M98+O98+Q98</f>
        <v>38904</v>
      </c>
      <c r="T98" s="18">
        <f t="shared" si="48"/>
        <v>0</v>
      </c>
      <c r="U98" s="27">
        <f>S98/98532</f>
        <v>0.39483619534770431</v>
      </c>
      <c r="V98" s="27">
        <f t="shared" si="12"/>
        <v>0</v>
      </c>
      <c r="W98" s="11"/>
      <c r="X98" s="11"/>
      <c r="Y98" s="11"/>
      <c r="Z98" s="11"/>
      <c r="AA98" s="20" t="s">
        <v>56</v>
      </c>
      <c r="AB98" s="88"/>
      <c r="AC98" s="22"/>
      <c r="AD98" s="44"/>
      <c r="AE98" s="88"/>
    </row>
    <row r="99" spans="1:31" ht="50" hidden="1">
      <c r="A99" s="56"/>
      <c r="B99" s="48"/>
      <c r="C99" s="59" t="s">
        <v>205</v>
      </c>
      <c r="D99" s="59" t="s">
        <v>202</v>
      </c>
      <c r="E99" s="20"/>
      <c r="F99" s="51"/>
      <c r="G99" s="59"/>
      <c r="H99" s="59"/>
      <c r="I99" s="20" t="s">
        <v>206</v>
      </c>
      <c r="J99" s="51">
        <v>3900000</v>
      </c>
      <c r="K99" s="61">
        <v>0</v>
      </c>
      <c r="L99" s="41">
        <v>0</v>
      </c>
      <c r="M99" s="20">
        <v>6759</v>
      </c>
      <c r="N99" s="82">
        <v>0</v>
      </c>
      <c r="O99" s="86"/>
      <c r="P99" s="86"/>
      <c r="Q99" s="20"/>
      <c r="R99" s="80"/>
      <c r="S99" s="87">
        <f t="shared" ref="S99:T99" si="49">K99+M99+O99+Q99</f>
        <v>6759</v>
      </c>
      <c r="T99" s="18">
        <f t="shared" si="49"/>
        <v>0</v>
      </c>
      <c r="U99" s="27">
        <f>S99/8635</f>
        <v>0.78274464389114073</v>
      </c>
      <c r="V99" s="27">
        <f t="shared" si="12"/>
        <v>0</v>
      </c>
      <c r="W99" s="11"/>
      <c r="X99" s="11"/>
      <c r="Y99" s="11"/>
      <c r="Z99" s="11"/>
      <c r="AA99" s="20" t="s">
        <v>112</v>
      </c>
      <c r="AB99" s="88"/>
      <c r="AC99" s="22"/>
      <c r="AD99" s="44"/>
      <c r="AE99" s="88"/>
    </row>
    <row r="100" spans="1:31" ht="50" hidden="1">
      <c r="A100" s="56"/>
      <c r="B100" s="48"/>
      <c r="C100" s="59" t="s">
        <v>207</v>
      </c>
      <c r="D100" s="59" t="s">
        <v>202</v>
      </c>
      <c r="E100" s="20"/>
      <c r="F100" s="51"/>
      <c r="G100" s="59"/>
      <c r="H100" s="59"/>
      <c r="I100" s="20" t="s">
        <v>208</v>
      </c>
      <c r="J100" s="51">
        <v>5800000</v>
      </c>
      <c r="K100" s="61">
        <v>0</v>
      </c>
      <c r="L100" s="41">
        <v>0</v>
      </c>
      <c r="M100" s="20">
        <v>0</v>
      </c>
      <c r="N100" s="82">
        <v>169400</v>
      </c>
      <c r="O100" s="86"/>
      <c r="P100" s="86"/>
      <c r="Q100" s="20"/>
      <c r="R100" s="80"/>
      <c r="S100" s="87">
        <f t="shared" ref="S100:T100" si="50">K100+M100+O100+Q100</f>
        <v>0</v>
      </c>
      <c r="T100" s="18">
        <f t="shared" si="50"/>
        <v>169400</v>
      </c>
      <c r="U100" s="27">
        <v>0</v>
      </c>
      <c r="V100" s="27">
        <f t="shared" si="12"/>
        <v>2.9206896551724138E-2</v>
      </c>
      <c r="W100" s="11"/>
      <c r="X100" s="11"/>
      <c r="Y100" s="11"/>
      <c r="Z100" s="11"/>
      <c r="AA100" s="20" t="s">
        <v>115</v>
      </c>
      <c r="AB100" s="88"/>
      <c r="AC100" s="22"/>
      <c r="AD100" s="44"/>
      <c r="AE100" s="88"/>
    </row>
    <row r="101" spans="1:31" ht="50" hidden="1">
      <c r="A101" s="56"/>
      <c r="B101" s="48"/>
      <c r="C101" s="59" t="s">
        <v>209</v>
      </c>
      <c r="D101" s="59" t="s">
        <v>202</v>
      </c>
      <c r="E101" s="20"/>
      <c r="F101" s="51"/>
      <c r="G101" s="59"/>
      <c r="H101" s="59"/>
      <c r="I101" s="20" t="s">
        <v>210</v>
      </c>
      <c r="J101" s="51">
        <v>2100000</v>
      </c>
      <c r="K101" s="61">
        <v>0</v>
      </c>
      <c r="L101" s="41">
        <v>0</v>
      </c>
      <c r="M101" s="20">
        <v>43</v>
      </c>
      <c r="N101" s="82">
        <v>0</v>
      </c>
      <c r="O101" s="86"/>
      <c r="P101" s="86"/>
      <c r="Q101" s="20"/>
      <c r="R101" s="80"/>
      <c r="S101" s="87">
        <f t="shared" ref="S101:T101" si="51">K101+M101+O101+Q101</f>
        <v>43</v>
      </c>
      <c r="T101" s="18">
        <f t="shared" si="51"/>
        <v>0</v>
      </c>
      <c r="U101" s="27">
        <f>S101/10228</f>
        <v>4.2041454829878765E-3</v>
      </c>
      <c r="V101" s="27">
        <f t="shared" si="12"/>
        <v>0</v>
      </c>
      <c r="W101" s="11"/>
      <c r="X101" s="11"/>
      <c r="Y101" s="11"/>
      <c r="Z101" s="11"/>
      <c r="AA101" s="20" t="s">
        <v>118</v>
      </c>
      <c r="AB101" s="88"/>
      <c r="AC101" s="22"/>
      <c r="AD101" s="44"/>
      <c r="AE101" s="88"/>
    </row>
    <row r="102" spans="1:31" ht="50" hidden="1">
      <c r="A102" s="56"/>
      <c r="B102" s="48"/>
      <c r="C102" s="59" t="s">
        <v>211</v>
      </c>
      <c r="D102" s="59" t="s">
        <v>202</v>
      </c>
      <c r="E102" s="20"/>
      <c r="F102" s="51"/>
      <c r="G102" s="59"/>
      <c r="H102" s="59"/>
      <c r="I102" s="20" t="s">
        <v>212</v>
      </c>
      <c r="J102" s="51">
        <v>19800000</v>
      </c>
      <c r="K102" s="61">
        <v>2259</v>
      </c>
      <c r="L102" s="41">
        <v>0</v>
      </c>
      <c r="M102" s="20">
        <v>1506</v>
      </c>
      <c r="N102" s="82">
        <v>0</v>
      </c>
      <c r="O102" s="86"/>
      <c r="P102" s="86"/>
      <c r="Q102" s="20"/>
      <c r="R102" s="80"/>
      <c r="S102" s="87">
        <f t="shared" ref="S102:T102" si="52">K102+M102+O102+Q102</f>
        <v>3765</v>
      </c>
      <c r="T102" s="18">
        <f t="shared" si="52"/>
        <v>0</v>
      </c>
      <c r="U102" s="27">
        <f>S102/4518</f>
        <v>0.83333333333333337</v>
      </c>
      <c r="V102" s="27">
        <f t="shared" si="12"/>
        <v>0</v>
      </c>
      <c r="W102" s="11"/>
      <c r="X102" s="11"/>
      <c r="Y102" s="11"/>
      <c r="Z102" s="11"/>
      <c r="AA102" s="20" t="s">
        <v>121</v>
      </c>
      <c r="AB102" s="88"/>
      <c r="AC102" s="22"/>
      <c r="AD102" s="44"/>
      <c r="AE102" s="88"/>
    </row>
    <row r="103" spans="1:31" ht="50" hidden="1">
      <c r="A103" s="56"/>
      <c r="B103" s="48"/>
      <c r="C103" s="59" t="s">
        <v>213</v>
      </c>
      <c r="D103" s="59" t="s">
        <v>202</v>
      </c>
      <c r="E103" s="20"/>
      <c r="F103" s="51"/>
      <c r="G103" s="59"/>
      <c r="H103" s="59"/>
      <c r="I103" s="20" t="s">
        <v>214</v>
      </c>
      <c r="J103" s="51">
        <v>13500000</v>
      </c>
      <c r="K103" s="61">
        <v>1043</v>
      </c>
      <c r="L103" s="41">
        <v>0</v>
      </c>
      <c r="M103" s="20">
        <v>1508</v>
      </c>
      <c r="N103" s="82">
        <v>220150</v>
      </c>
      <c r="O103" s="86"/>
      <c r="P103" s="86"/>
      <c r="Q103" s="20"/>
      <c r="R103" s="80"/>
      <c r="S103" s="87">
        <f t="shared" ref="S103:T103" si="53">K103+M103+O103+Q103</f>
        <v>2551</v>
      </c>
      <c r="T103" s="18">
        <f t="shared" si="53"/>
        <v>220150</v>
      </c>
      <c r="U103" s="27">
        <f>S103/10164</f>
        <v>0.25098386462022826</v>
      </c>
      <c r="V103" s="27">
        <f t="shared" si="12"/>
        <v>1.6307407407407406E-2</v>
      </c>
      <c r="W103" s="11"/>
      <c r="X103" s="11"/>
      <c r="Y103" s="11"/>
      <c r="Z103" s="11"/>
      <c r="AA103" s="20" t="s">
        <v>124</v>
      </c>
      <c r="AB103" s="88"/>
      <c r="AC103" s="22"/>
      <c r="AD103" s="44"/>
      <c r="AE103" s="88"/>
    </row>
    <row r="104" spans="1:31" ht="62.5" hidden="1">
      <c r="A104" s="56"/>
      <c r="B104" s="48"/>
      <c r="C104" s="59" t="s">
        <v>215</v>
      </c>
      <c r="D104" s="59" t="s">
        <v>202</v>
      </c>
      <c r="E104" s="20"/>
      <c r="F104" s="51"/>
      <c r="G104" s="59"/>
      <c r="H104" s="59"/>
      <c r="I104" s="20" t="s">
        <v>216</v>
      </c>
      <c r="J104" s="51">
        <v>7000000</v>
      </c>
      <c r="K104" s="61">
        <v>0</v>
      </c>
      <c r="L104" s="41">
        <v>0</v>
      </c>
      <c r="M104" s="20">
        <v>0</v>
      </c>
      <c r="N104" s="82">
        <v>300000</v>
      </c>
      <c r="O104" s="86"/>
      <c r="P104" s="86"/>
      <c r="Q104" s="20"/>
      <c r="R104" s="80"/>
      <c r="S104" s="87">
        <f t="shared" ref="S104:T104" si="54">K104+M104+O104+Q104</f>
        <v>0</v>
      </c>
      <c r="T104" s="18">
        <f t="shared" si="54"/>
        <v>300000</v>
      </c>
      <c r="U104" s="27">
        <v>0</v>
      </c>
      <c r="V104" s="27">
        <f t="shared" si="12"/>
        <v>4.2857142857142858E-2</v>
      </c>
      <c r="W104" s="11"/>
      <c r="X104" s="11"/>
      <c r="Y104" s="11"/>
      <c r="Z104" s="11"/>
      <c r="AA104" s="20" t="s">
        <v>127</v>
      </c>
      <c r="AB104" s="88"/>
      <c r="AC104" s="22"/>
      <c r="AD104" s="44"/>
      <c r="AE104" s="88"/>
    </row>
    <row r="105" spans="1:31" ht="50">
      <c r="A105" s="56"/>
      <c r="B105" s="48"/>
      <c r="C105" s="59" t="s">
        <v>217</v>
      </c>
      <c r="D105" s="59" t="s">
        <v>202</v>
      </c>
      <c r="E105" s="20"/>
      <c r="F105" s="51"/>
      <c r="G105" s="59"/>
      <c r="H105" s="59"/>
      <c r="I105" s="20" t="s">
        <v>218</v>
      </c>
      <c r="J105" s="51">
        <v>8904000</v>
      </c>
      <c r="K105" s="61">
        <v>0</v>
      </c>
      <c r="L105" s="41">
        <v>0</v>
      </c>
      <c r="M105" s="20">
        <v>0</v>
      </c>
      <c r="N105" s="82">
        <v>0</v>
      </c>
      <c r="O105" s="86">
        <v>8295</v>
      </c>
      <c r="P105" s="86">
        <v>175000</v>
      </c>
      <c r="Q105" s="20">
        <v>0</v>
      </c>
      <c r="R105" s="80">
        <v>250000</v>
      </c>
      <c r="S105" s="87">
        <f t="shared" ref="S105:T105" si="55">K105+M105+O105+Q105</f>
        <v>8295</v>
      </c>
      <c r="T105" s="18">
        <f t="shared" si="55"/>
        <v>425000</v>
      </c>
      <c r="U105" s="27">
        <f>S105/7500</f>
        <v>1.1060000000000001</v>
      </c>
      <c r="V105" s="27">
        <f t="shared" si="12"/>
        <v>4.7731356693620844E-2</v>
      </c>
      <c r="W105" s="11"/>
      <c r="X105" s="11"/>
      <c r="Y105" s="11"/>
      <c r="Z105" s="11"/>
      <c r="AA105" s="20" t="s">
        <v>130</v>
      </c>
      <c r="AB105" s="88"/>
      <c r="AC105" s="22"/>
      <c r="AD105" s="44"/>
      <c r="AE105" s="88"/>
    </row>
    <row r="106" spans="1:31" ht="62.5" hidden="1">
      <c r="A106" s="56"/>
      <c r="B106" s="48"/>
      <c r="C106" s="59" t="s">
        <v>219</v>
      </c>
      <c r="D106" s="59" t="s">
        <v>202</v>
      </c>
      <c r="E106" s="20"/>
      <c r="F106" s="51"/>
      <c r="G106" s="59"/>
      <c r="H106" s="59"/>
      <c r="I106" s="20" t="s">
        <v>220</v>
      </c>
      <c r="J106" s="51">
        <v>16000000</v>
      </c>
      <c r="K106" s="61">
        <v>1682</v>
      </c>
      <c r="L106" s="41">
        <v>0</v>
      </c>
      <c r="M106" s="20">
        <v>3689</v>
      </c>
      <c r="N106" s="82">
        <v>0</v>
      </c>
      <c r="O106" s="86"/>
      <c r="P106" s="86"/>
      <c r="Q106" s="20"/>
      <c r="R106" s="80"/>
      <c r="S106" s="87">
        <f t="shared" ref="S106:T106" si="56">K106+M106+O106+Q106</f>
        <v>5371</v>
      </c>
      <c r="T106" s="18">
        <f t="shared" si="56"/>
        <v>0</v>
      </c>
      <c r="U106" s="27">
        <f>S106/7816</f>
        <v>0.68718014329580346</v>
      </c>
      <c r="V106" s="27">
        <f t="shared" si="12"/>
        <v>0</v>
      </c>
      <c r="W106" s="11"/>
      <c r="X106" s="11"/>
      <c r="Y106" s="11"/>
      <c r="Z106" s="11"/>
      <c r="AA106" s="20" t="s">
        <v>133</v>
      </c>
      <c r="AB106" s="88"/>
      <c r="AC106" s="22"/>
      <c r="AD106" s="44"/>
      <c r="AE106" s="88"/>
    </row>
    <row r="107" spans="1:31" ht="50" hidden="1">
      <c r="A107" s="56"/>
      <c r="B107" s="48"/>
      <c r="C107" s="59" t="s">
        <v>221</v>
      </c>
      <c r="D107" s="59" t="s">
        <v>202</v>
      </c>
      <c r="E107" s="20"/>
      <c r="F107" s="51"/>
      <c r="G107" s="59"/>
      <c r="H107" s="59"/>
      <c r="I107" s="20" t="s">
        <v>222</v>
      </c>
      <c r="J107" s="51">
        <v>6000000</v>
      </c>
      <c r="K107" s="61">
        <v>6163</v>
      </c>
      <c r="L107" s="41">
        <v>0</v>
      </c>
      <c r="M107" s="20">
        <v>0</v>
      </c>
      <c r="N107" s="82">
        <v>0</v>
      </c>
      <c r="O107" s="86"/>
      <c r="P107" s="86"/>
      <c r="Q107" s="20"/>
      <c r="R107" s="80"/>
      <c r="S107" s="87">
        <f t="shared" ref="S107:T107" si="57">K107+M107+O107+Q107</f>
        <v>6163</v>
      </c>
      <c r="T107" s="18">
        <f t="shared" si="57"/>
        <v>0</v>
      </c>
      <c r="U107" s="27">
        <f>S107/10969</f>
        <v>0.56185614003099649</v>
      </c>
      <c r="V107" s="27">
        <f t="shared" si="12"/>
        <v>0</v>
      </c>
      <c r="W107" s="11"/>
      <c r="X107" s="11"/>
      <c r="Y107" s="11"/>
      <c r="Z107" s="11"/>
      <c r="AA107" s="20" t="s">
        <v>136</v>
      </c>
      <c r="AB107" s="88"/>
      <c r="AC107" s="22"/>
      <c r="AD107" s="44"/>
      <c r="AE107" s="88"/>
    </row>
    <row r="108" spans="1:31" ht="50" hidden="1">
      <c r="A108" s="56"/>
      <c r="B108" s="48"/>
      <c r="C108" s="59" t="s">
        <v>223</v>
      </c>
      <c r="D108" s="59" t="s">
        <v>202</v>
      </c>
      <c r="E108" s="20"/>
      <c r="F108" s="51"/>
      <c r="G108" s="59"/>
      <c r="H108" s="59"/>
      <c r="I108" s="20" t="s">
        <v>224</v>
      </c>
      <c r="J108" s="51">
        <v>4000000</v>
      </c>
      <c r="K108" s="61">
        <v>1033</v>
      </c>
      <c r="L108" s="41">
        <v>0</v>
      </c>
      <c r="M108" s="20">
        <v>882</v>
      </c>
      <c r="N108" s="82">
        <v>0</v>
      </c>
      <c r="O108" s="86"/>
      <c r="P108" s="86"/>
      <c r="Q108" s="20"/>
      <c r="R108" s="80"/>
      <c r="S108" s="87">
        <f t="shared" ref="S108:T108" si="58">K108+M108+O108+Q108</f>
        <v>1915</v>
      </c>
      <c r="T108" s="18">
        <f t="shared" si="58"/>
        <v>0</v>
      </c>
      <c r="U108" s="27">
        <f>S108/6536</f>
        <v>0.29299265605875152</v>
      </c>
      <c r="V108" s="27">
        <f t="shared" si="12"/>
        <v>0</v>
      </c>
      <c r="W108" s="11"/>
      <c r="X108" s="11"/>
      <c r="Y108" s="11"/>
      <c r="Z108" s="11"/>
      <c r="AA108" s="20" t="s">
        <v>139</v>
      </c>
      <c r="AB108" s="88"/>
      <c r="AC108" s="22"/>
      <c r="AD108" s="44"/>
      <c r="AE108" s="88"/>
    </row>
    <row r="109" spans="1:31" ht="50" hidden="1">
      <c r="A109" s="56"/>
      <c r="B109" s="48"/>
      <c r="C109" s="59" t="s">
        <v>225</v>
      </c>
      <c r="D109" s="59" t="s">
        <v>202</v>
      </c>
      <c r="E109" s="20"/>
      <c r="F109" s="51"/>
      <c r="G109" s="59"/>
      <c r="H109" s="59"/>
      <c r="I109" s="20" t="s">
        <v>226</v>
      </c>
      <c r="J109" s="51">
        <v>16800000</v>
      </c>
      <c r="K109" s="61">
        <v>1234</v>
      </c>
      <c r="L109" s="41">
        <v>0</v>
      </c>
      <c r="M109" s="20">
        <v>333</v>
      </c>
      <c r="N109" s="82">
        <v>0</v>
      </c>
      <c r="O109" s="86"/>
      <c r="P109" s="86"/>
      <c r="Q109" s="20"/>
      <c r="R109" s="80"/>
      <c r="S109" s="87">
        <f t="shared" ref="S109:T109" si="59">K109+M109+O109+Q109</f>
        <v>1567</v>
      </c>
      <c r="T109" s="18">
        <f t="shared" si="59"/>
        <v>0</v>
      </c>
      <c r="U109" s="27">
        <f>S109/9604</f>
        <v>0.16316118284048314</v>
      </c>
      <c r="V109" s="27">
        <f t="shared" si="12"/>
        <v>0</v>
      </c>
      <c r="W109" s="11"/>
      <c r="X109" s="11"/>
      <c r="Y109" s="11"/>
      <c r="Z109" s="11"/>
      <c r="AA109" s="20" t="s">
        <v>142</v>
      </c>
      <c r="AB109" s="88"/>
      <c r="AC109" s="22"/>
      <c r="AD109" s="44"/>
      <c r="AE109" s="88"/>
    </row>
    <row r="110" spans="1:31" ht="50" hidden="1">
      <c r="A110" s="56"/>
      <c r="B110" s="48"/>
      <c r="C110" s="59" t="s">
        <v>227</v>
      </c>
      <c r="D110" s="59" t="s">
        <v>202</v>
      </c>
      <c r="E110" s="20"/>
      <c r="F110" s="51"/>
      <c r="G110" s="59"/>
      <c r="H110" s="59"/>
      <c r="I110" s="20" t="s">
        <v>228</v>
      </c>
      <c r="J110" s="51">
        <v>7900000</v>
      </c>
      <c r="K110" s="61">
        <v>1873</v>
      </c>
      <c r="L110" s="41">
        <v>0</v>
      </c>
      <c r="M110" s="20">
        <v>3815</v>
      </c>
      <c r="N110" s="82">
        <v>0</v>
      </c>
      <c r="O110" s="86"/>
      <c r="P110" s="86"/>
      <c r="Q110" s="20"/>
      <c r="R110" s="80"/>
      <c r="S110" s="87">
        <f t="shared" ref="S110:T110" si="60">K110+M110+O110+Q110</f>
        <v>5688</v>
      </c>
      <c r="T110" s="18">
        <f t="shared" si="60"/>
        <v>0</v>
      </c>
      <c r="U110" s="27">
        <f>S110/7670</f>
        <v>0.7415906127770534</v>
      </c>
      <c r="V110" s="27">
        <f t="shared" si="12"/>
        <v>0</v>
      </c>
      <c r="W110" s="11"/>
      <c r="X110" s="11"/>
      <c r="Y110" s="11"/>
      <c r="Z110" s="11"/>
      <c r="AA110" s="20" t="s">
        <v>145</v>
      </c>
      <c r="AB110" s="88"/>
      <c r="AC110" s="22"/>
      <c r="AD110" s="44"/>
      <c r="AE110" s="88"/>
    </row>
    <row r="111" spans="1:31" ht="50" hidden="1">
      <c r="A111" s="56"/>
      <c r="B111" s="48"/>
      <c r="C111" s="59" t="s">
        <v>229</v>
      </c>
      <c r="D111" s="59" t="s">
        <v>202</v>
      </c>
      <c r="E111" s="20"/>
      <c r="F111" s="51"/>
      <c r="G111" s="59"/>
      <c r="H111" s="59"/>
      <c r="I111" s="20" t="s">
        <v>230</v>
      </c>
      <c r="J111" s="51">
        <v>7200000</v>
      </c>
      <c r="K111" s="61">
        <v>7731</v>
      </c>
      <c r="L111" s="41">
        <v>0</v>
      </c>
      <c r="M111" s="20">
        <v>0</v>
      </c>
      <c r="N111" s="82">
        <v>0</v>
      </c>
      <c r="O111" s="86"/>
      <c r="P111" s="86"/>
      <c r="Q111" s="20"/>
      <c r="R111" s="80"/>
      <c r="S111" s="87">
        <f t="shared" ref="S111:T111" si="61">K111+M111+O111+Q111</f>
        <v>7731</v>
      </c>
      <c r="T111" s="18">
        <f t="shared" si="61"/>
        <v>0</v>
      </c>
      <c r="U111" s="27">
        <f>S111/7731</f>
        <v>1</v>
      </c>
      <c r="V111" s="27">
        <f t="shared" si="12"/>
        <v>0</v>
      </c>
      <c r="W111" s="11"/>
      <c r="X111" s="11"/>
      <c r="Y111" s="11"/>
      <c r="Z111" s="11"/>
      <c r="AA111" s="20" t="s">
        <v>148</v>
      </c>
      <c r="AB111" s="88"/>
      <c r="AC111" s="22"/>
      <c r="AD111" s="44"/>
      <c r="AE111" s="88"/>
    </row>
    <row r="112" spans="1:31" ht="50" hidden="1">
      <c r="A112" s="56"/>
      <c r="B112" s="48"/>
      <c r="C112" s="59" t="s">
        <v>231</v>
      </c>
      <c r="D112" s="59" t="s">
        <v>202</v>
      </c>
      <c r="E112" s="20"/>
      <c r="F112" s="51"/>
      <c r="G112" s="59"/>
      <c r="H112" s="59"/>
      <c r="I112" s="20" t="s">
        <v>232</v>
      </c>
      <c r="J112" s="51">
        <v>12800000</v>
      </c>
      <c r="K112" s="61">
        <v>3499</v>
      </c>
      <c r="L112" s="41">
        <v>0</v>
      </c>
      <c r="M112" s="20">
        <v>3189</v>
      </c>
      <c r="N112" s="82">
        <v>0</v>
      </c>
      <c r="O112" s="86"/>
      <c r="P112" s="86"/>
      <c r="Q112" s="20"/>
      <c r="R112" s="80"/>
      <c r="S112" s="87">
        <f t="shared" ref="S112:T112" si="62">K112+M112+O112+Q112</f>
        <v>6688</v>
      </c>
      <c r="T112" s="18">
        <f t="shared" si="62"/>
        <v>0</v>
      </c>
      <c r="U112" s="27">
        <v>1</v>
      </c>
      <c r="V112" s="27">
        <f t="shared" si="12"/>
        <v>0</v>
      </c>
      <c r="W112" s="11"/>
      <c r="X112" s="11"/>
      <c r="Y112" s="11"/>
      <c r="Z112" s="11"/>
      <c r="AA112" s="20" t="s">
        <v>151</v>
      </c>
      <c r="AB112" s="88"/>
      <c r="AC112" s="22"/>
      <c r="AD112" s="44"/>
      <c r="AE112" s="88"/>
    </row>
    <row r="113" spans="1:31" ht="50" hidden="1">
      <c r="A113" s="56"/>
      <c r="B113" s="48"/>
      <c r="C113" s="59" t="s">
        <v>233</v>
      </c>
      <c r="D113" s="59" t="s">
        <v>202</v>
      </c>
      <c r="E113" s="20"/>
      <c r="F113" s="51"/>
      <c r="G113" s="59"/>
      <c r="H113" s="59"/>
      <c r="I113" s="20" t="s">
        <v>234</v>
      </c>
      <c r="J113" s="51">
        <v>4000000</v>
      </c>
      <c r="K113" s="61">
        <v>803</v>
      </c>
      <c r="L113" s="41">
        <v>0</v>
      </c>
      <c r="M113" s="20">
        <v>309</v>
      </c>
      <c r="N113" s="82">
        <v>0</v>
      </c>
      <c r="O113" s="86"/>
      <c r="P113" s="86"/>
      <c r="Q113" s="20"/>
      <c r="R113" s="80"/>
      <c r="S113" s="87">
        <f t="shared" ref="S113:T113" si="63">K113+M113+O113+Q113</f>
        <v>1112</v>
      </c>
      <c r="T113" s="18">
        <f t="shared" si="63"/>
        <v>0</v>
      </c>
      <c r="U113" s="27">
        <f>S113/3060</f>
        <v>0.3633986928104575</v>
      </c>
      <c r="V113" s="27">
        <f t="shared" si="12"/>
        <v>0</v>
      </c>
      <c r="W113" s="11"/>
      <c r="X113" s="11"/>
      <c r="Y113" s="11"/>
      <c r="Z113" s="11"/>
      <c r="AA113" s="20" t="s">
        <v>154</v>
      </c>
      <c r="AB113" s="88"/>
      <c r="AC113" s="22"/>
      <c r="AD113" s="44"/>
      <c r="AE113" s="88"/>
    </row>
    <row r="114" spans="1:31" ht="50" hidden="1">
      <c r="A114" s="56"/>
      <c r="B114" s="48"/>
      <c r="C114" s="59" t="s">
        <v>235</v>
      </c>
      <c r="D114" s="59" t="s">
        <v>202</v>
      </c>
      <c r="E114" s="20"/>
      <c r="F114" s="51"/>
      <c r="G114" s="59"/>
      <c r="H114" s="59"/>
      <c r="I114" s="20" t="s">
        <v>236</v>
      </c>
      <c r="J114" s="51">
        <v>10800000</v>
      </c>
      <c r="K114" s="61">
        <v>5084</v>
      </c>
      <c r="L114" s="41">
        <v>0</v>
      </c>
      <c r="M114" s="20">
        <v>0</v>
      </c>
      <c r="N114" s="82">
        <v>0</v>
      </c>
      <c r="O114" s="86"/>
      <c r="P114" s="86"/>
      <c r="Q114" s="20"/>
      <c r="R114" s="80"/>
      <c r="S114" s="87">
        <f t="shared" ref="S114:T114" si="64">K114+M114+O114+Q114</f>
        <v>5084</v>
      </c>
      <c r="T114" s="18">
        <f t="shared" si="64"/>
        <v>0</v>
      </c>
      <c r="U114" s="27">
        <f>S114/5165</f>
        <v>0.98431752178121978</v>
      </c>
      <c r="V114" s="27">
        <f t="shared" si="12"/>
        <v>0</v>
      </c>
      <c r="W114" s="11"/>
      <c r="X114" s="11"/>
      <c r="Y114" s="11"/>
      <c r="Z114" s="11"/>
      <c r="AA114" s="20" t="s">
        <v>157</v>
      </c>
      <c r="AB114" s="88"/>
      <c r="AC114" s="22"/>
      <c r="AD114" s="44"/>
      <c r="AE114" s="88"/>
    </row>
    <row r="115" spans="1:31" ht="50" hidden="1">
      <c r="A115" s="56"/>
      <c r="B115" s="48"/>
      <c r="C115" s="59" t="s">
        <v>237</v>
      </c>
      <c r="D115" s="59" t="s">
        <v>238</v>
      </c>
      <c r="E115" s="20" t="s">
        <v>239</v>
      </c>
      <c r="F115" s="51">
        <v>196016340</v>
      </c>
      <c r="G115" s="59"/>
      <c r="H115" s="59"/>
      <c r="I115" s="20" t="s">
        <v>240</v>
      </c>
      <c r="J115" s="51">
        <v>179585000</v>
      </c>
      <c r="K115" s="61">
        <v>104509</v>
      </c>
      <c r="L115" s="41">
        <v>0</v>
      </c>
      <c r="M115" s="20">
        <v>69855</v>
      </c>
      <c r="N115" s="82">
        <f>19585000-L115</f>
        <v>19585000</v>
      </c>
      <c r="O115" s="86"/>
      <c r="P115" s="86">
        <f>179585000-L115-N115</f>
        <v>160000000</v>
      </c>
      <c r="Q115" s="20"/>
      <c r="R115" s="80"/>
      <c r="S115" s="87">
        <f t="shared" ref="S115:T115" si="65">K115+M115+O115+Q115</f>
        <v>174364</v>
      </c>
      <c r="T115" s="18">
        <f t="shared" si="65"/>
        <v>179585000</v>
      </c>
      <c r="U115" s="27">
        <f>S115/606244</f>
        <v>0.28761356813428257</v>
      </c>
      <c r="V115" s="27">
        <f t="shared" si="12"/>
        <v>1</v>
      </c>
      <c r="W115" s="11"/>
      <c r="X115" s="11"/>
      <c r="Y115" s="11"/>
      <c r="Z115" s="11"/>
      <c r="AA115" s="20" t="s">
        <v>56</v>
      </c>
      <c r="AB115" s="88"/>
      <c r="AC115" s="22"/>
      <c r="AD115" s="44"/>
      <c r="AE115" s="88"/>
    </row>
    <row r="116" spans="1:31" ht="50" hidden="1">
      <c r="A116" s="56"/>
      <c r="B116" s="48"/>
      <c r="C116" s="59" t="s">
        <v>241</v>
      </c>
      <c r="D116" s="59" t="s">
        <v>242</v>
      </c>
      <c r="E116" s="20" t="s">
        <v>243</v>
      </c>
      <c r="F116" s="51">
        <v>3507270000</v>
      </c>
      <c r="G116" s="59"/>
      <c r="H116" s="59"/>
      <c r="I116" s="20" t="s">
        <v>244</v>
      </c>
      <c r="J116" s="51">
        <v>3999494000</v>
      </c>
      <c r="K116" s="61">
        <v>22123</v>
      </c>
      <c r="L116" s="41">
        <v>0</v>
      </c>
      <c r="M116" s="20">
        <v>16881</v>
      </c>
      <c r="N116" s="82">
        <v>0</v>
      </c>
      <c r="O116" s="86"/>
      <c r="P116" s="86">
        <v>0</v>
      </c>
      <c r="Q116" s="20"/>
      <c r="R116" s="80"/>
      <c r="S116" s="87">
        <f t="shared" ref="S116:T116" si="66">K116+M116+O116+Q116</f>
        <v>39004</v>
      </c>
      <c r="T116" s="18">
        <f t="shared" si="66"/>
        <v>0</v>
      </c>
      <c r="U116" s="27">
        <f>S116/110746</f>
        <v>0.35219330720748382</v>
      </c>
      <c r="V116" s="27">
        <f t="shared" si="12"/>
        <v>0</v>
      </c>
      <c r="W116" s="11"/>
      <c r="X116" s="11"/>
      <c r="Y116" s="11"/>
      <c r="Z116" s="11"/>
      <c r="AA116" s="20" t="s">
        <v>56</v>
      </c>
      <c r="AB116" s="88"/>
      <c r="AC116" s="22"/>
      <c r="AD116" s="44"/>
      <c r="AE116" s="88"/>
    </row>
    <row r="117" spans="1:31" ht="50" hidden="1">
      <c r="A117" s="56"/>
      <c r="B117" s="48"/>
      <c r="C117" s="59" t="s">
        <v>245</v>
      </c>
      <c r="D117" s="59" t="s">
        <v>246</v>
      </c>
      <c r="E117" s="20" t="s">
        <v>247</v>
      </c>
      <c r="F117" s="51">
        <v>208055900</v>
      </c>
      <c r="G117" s="59"/>
      <c r="H117" s="59"/>
      <c r="I117" s="20" t="s">
        <v>248</v>
      </c>
      <c r="J117" s="51">
        <v>112462000</v>
      </c>
      <c r="K117" s="61">
        <v>37350</v>
      </c>
      <c r="L117" s="41">
        <v>0</v>
      </c>
      <c r="M117" s="20">
        <v>12092</v>
      </c>
      <c r="N117" s="82">
        <f>51146000-L117</f>
        <v>51146000</v>
      </c>
      <c r="O117" s="86"/>
      <c r="P117" s="86">
        <f>109262000-L117-N117</f>
        <v>58116000</v>
      </c>
      <c r="Q117" s="20"/>
      <c r="R117" s="80"/>
      <c r="S117" s="87">
        <f t="shared" ref="S117:T117" si="67">K117+M117+O117+Q117</f>
        <v>49442</v>
      </c>
      <c r="T117" s="18">
        <f t="shared" si="67"/>
        <v>109262000</v>
      </c>
      <c r="U117" s="27">
        <f>S117/228720</f>
        <v>0.21616824064358167</v>
      </c>
      <c r="V117" s="27">
        <f t="shared" si="12"/>
        <v>0.97154594440788888</v>
      </c>
      <c r="W117" s="11"/>
      <c r="X117" s="11"/>
      <c r="Y117" s="11"/>
      <c r="Z117" s="11"/>
      <c r="AA117" s="20" t="s">
        <v>56</v>
      </c>
      <c r="AB117" s="88"/>
      <c r="AC117" s="22"/>
      <c r="AD117" s="44"/>
      <c r="AE117" s="88"/>
    </row>
    <row r="118" spans="1:31" ht="50" hidden="1">
      <c r="A118" s="56"/>
      <c r="B118" s="48"/>
      <c r="C118" s="59" t="s">
        <v>249</v>
      </c>
      <c r="D118" s="59" t="s">
        <v>250</v>
      </c>
      <c r="E118" s="20" t="s">
        <v>251</v>
      </c>
      <c r="F118" s="51">
        <v>110711900</v>
      </c>
      <c r="G118" s="59"/>
      <c r="H118" s="59"/>
      <c r="I118" s="20" t="s">
        <v>252</v>
      </c>
      <c r="J118" s="51">
        <v>1749084000</v>
      </c>
      <c r="K118" s="61">
        <v>6756</v>
      </c>
      <c r="L118" s="41">
        <v>0</v>
      </c>
      <c r="M118" s="20">
        <v>2012</v>
      </c>
      <c r="N118" s="82">
        <v>0</v>
      </c>
      <c r="O118" s="86"/>
      <c r="P118" s="86">
        <f>53300000-L118-N118</f>
        <v>53300000</v>
      </c>
      <c r="Q118" s="20"/>
      <c r="R118" s="80"/>
      <c r="S118" s="87">
        <f t="shared" ref="S118:T118" si="68">K118+M118+O118+Q118</f>
        <v>8768</v>
      </c>
      <c r="T118" s="18">
        <f t="shared" si="68"/>
        <v>53300000</v>
      </c>
      <c r="U118" s="27">
        <f>S118/22227</f>
        <v>0.39447518783461555</v>
      </c>
      <c r="V118" s="27">
        <f t="shared" si="12"/>
        <v>3.0473093344859366E-2</v>
      </c>
      <c r="W118" s="11"/>
      <c r="X118" s="11"/>
      <c r="Y118" s="11"/>
      <c r="Z118" s="11"/>
      <c r="AA118" s="20" t="s">
        <v>56</v>
      </c>
      <c r="AB118" s="88"/>
      <c r="AC118" s="22"/>
      <c r="AD118" s="44"/>
      <c r="AE118" s="88"/>
    </row>
    <row r="119" spans="1:31" ht="62.5" hidden="1">
      <c r="A119" s="56"/>
      <c r="B119" s="48"/>
      <c r="C119" s="59" t="s">
        <v>253</v>
      </c>
      <c r="D119" s="59" t="s">
        <v>254</v>
      </c>
      <c r="E119" s="20" t="s">
        <v>255</v>
      </c>
      <c r="F119" s="51">
        <v>670456800</v>
      </c>
      <c r="G119" s="59"/>
      <c r="H119" s="59"/>
      <c r="I119" s="20" t="s">
        <v>256</v>
      </c>
      <c r="J119" s="51">
        <v>159900000</v>
      </c>
      <c r="K119" s="61">
        <v>673</v>
      </c>
      <c r="L119" s="41">
        <v>0</v>
      </c>
      <c r="M119" s="20">
        <v>142</v>
      </c>
      <c r="N119" s="82">
        <v>0</v>
      </c>
      <c r="O119" s="86"/>
      <c r="P119" s="86">
        <f>69075000-L119-N119</f>
        <v>69075000</v>
      </c>
      <c r="Q119" s="20"/>
      <c r="R119" s="80"/>
      <c r="S119" s="87">
        <f t="shared" ref="S119:T119" si="69">K119+M119+O119+Q119</f>
        <v>815</v>
      </c>
      <c r="T119" s="18">
        <f t="shared" si="69"/>
        <v>69075000</v>
      </c>
      <c r="U119" s="27">
        <f>S119/1415</f>
        <v>0.57597173144876324</v>
      </c>
      <c r="V119" s="27">
        <f t="shared" si="12"/>
        <v>0.43198874296435275</v>
      </c>
      <c r="W119" s="11"/>
      <c r="X119" s="11"/>
      <c r="Y119" s="11"/>
      <c r="Z119" s="11"/>
      <c r="AA119" s="20" t="s">
        <v>56</v>
      </c>
      <c r="AB119" s="88"/>
      <c r="AC119" s="22"/>
      <c r="AD119" s="44"/>
      <c r="AE119" s="88"/>
    </row>
    <row r="120" spans="1:31" ht="50" hidden="1">
      <c r="A120" s="56"/>
      <c r="B120" s="48"/>
      <c r="C120" s="59" t="s">
        <v>257</v>
      </c>
      <c r="D120" s="59" t="s">
        <v>258</v>
      </c>
      <c r="E120" s="20" t="s">
        <v>259</v>
      </c>
      <c r="F120" s="51">
        <v>515926093</v>
      </c>
      <c r="G120" s="59"/>
      <c r="H120" s="59"/>
      <c r="I120" s="20" t="s">
        <v>260</v>
      </c>
      <c r="J120" s="51">
        <v>1315041000</v>
      </c>
      <c r="K120" s="61">
        <v>2876</v>
      </c>
      <c r="L120" s="41">
        <v>9834012</v>
      </c>
      <c r="M120" s="20">
        <v>4127</v>
      </c>
      <c r="N120" s="82">
        <f>17711812-L120</f>
        <v>7877800</v>
      </c>
      <c r="O120" s="86"/>
      <c r="P120" s="86">
        <f>32340480-L120-N120</f>
        <v>14628668</v>
      </c>
      <c r="Q120" s="20"/>
      <c r="R120" s="80"/>
      <c r="S120" s="87">
        <f t="shared" ref="S120:T120" si="70">K120+M120+O120+Q120</f>
        <v>7003</v>
      </c>
      <c r="T120" s="18">
        <f t="shared" si="70"/>
        <v>32340480</v>
      </c>
      <c r="U120" s="27">
        <f>S120/17010</f>
        <v>0.4116990005878895</v>
      </c>
      <c r="V120" s="27">
        <f t="shared" si="12"/>
        <v>2.4592754142266287E-2</v>
      </c>
      <c r="W120" s="11"/>
      <c r="X120" s="11"/>
      <c r="Y120" s="11"/>
      <c r="Z120" s="11"/>
      <c r="AA120" s="20" t="s">
        <v>56</v>
      </c>
      <c r="AB120" s="88"/>
      <c r="AC120" s="22"/>
      <c r="AD120" s="44"/>
      <c r="AE120" s="88"/>
    </row>
    <row r="121" spans="1:31" ht="50" hidden="1">
      <c r="A121" s="56"/>
      <c r="B121" s="48"/>
      <c r="C121" s="59" t="s">
        <v>261</v>
      </c>
      <c r="D121" s="59" t="s">
        <v>258</v>
      </c>
      <c r="E121" s="20"/>
      <c r="F121" s="51"/>
      <c r="G121" s="59"/>
      <c r="H121" s="59"/>
      <c r="I121" s="20" t="s">
        <v>262</v>
      </c>
      <c r="J121" s="51">
        <v>2300000</v>
      </c>
      <c r="K121" s="61">
        <v>358</v>
      </c>
      <c r="L121" s="41">
        <v>0</v>
      </c>
      <c r="M121" s="20">
        <v>161</v>
      </c>
      <c r="N121" s="82">
        <v>0</v>
      </c>
      <c r="O121" s="86"/>
      <c r="P121" s="86"/>
      <c r="Q121" s="20"/>
      <c r="R121" s="80"/>
      <c r="S121" s="87">
        <f t="shared" ref="S121:T121" si="71">K121+M121+O121+Q121</f>
        <v>519</v>
      </c>
      <c r="T121" s="18">
        <f t="shared" si="71"/>
        <v>0</v>
      </c>
      <c r="U121" s="27">
        <v>1</v>
      </c>
      <c r="V121" s="27">
        <f t="shared" si="12"/>
        <v>0</v>
      </c>
      <c r="W121" s="11"/>
      <c r="X121" s="11"/>
      <c r="Y121" s="11"/>
      <c r="Z121" s="11"/>
      <c r="AA121" s="20" t="s">
        <v>112</v>
      </c>
      <c r="AB121" s="88"/>
      <c r="AC121" s="22"/>
      <c r="AD121" s="44"/>
      <c r="AE121" s="88"/>
    </row>
    <row r="122" spans="1:31" ht="50" hidden="1">
      <c r="A122" s="56"/>
      <c r="B122" s="48"/>
      <c r="C122" s="59" t="s">
        <v>263</v>
      </c>
      <c r="D122" s="59" t="s">
        <v>258</v>
      </c>
      <c r="E122" s="20"/>
      <c r="F122" s="51"/>
      <c r="G122" s="59"/>
      <c r="H122" s="59"/>
      <c r="I122" s="20" t="s">
        <v>264</v>
      </c>
      <c r="J122" s="51">
        <v>2000000</v>
      </c>
      <c r="K122" s="61">
        <v>196</v>
      </c>
      <c r="L122" s="41">
        <v>0</v>
      </c>
      <c r="M122" s="20">
        <v>62</v>
      </c>
      <c r="N122" s="82">
        <v>0</v>
      </c>
      <c r="O122" s="86"/>
      <c r="P122" s="86"/>
      <c r="Q122" s="20"/>
      <c r="R122" s="80"/>
      <c r="S122" s="87">
        <f t="shared" ref="S122:T122" si="72">K122+M122+O122+Q122</f>
        <v>258</v>
      </c>
      <c r="T122" s="18">
        <f t="shared" si="72"/>
        <v>0</v>
      </c>
      <c r="U122" s="27">
        <f>S122/929</f>
        <v>0.27771797631862216</v>
      </c>
      <c r="V122" s="27">
        <f t="shared" si="12"/>
        <v>0</v>
      </c>
      <c r="W122" s="11"/>
      <c r="X122" s="11"/>
      <c r="Y122" s="11"/>
      <c r="Z122" s="11"/>
      <c r="AA122" s="20" t="s">
        <v>115</v>
      </c>
      <c r="AB122" s="88"/>
      <c r="AC122" s="22"/>
      <c r="AD122" s="44"/>
      <c r="AE122" s="88"/>
    </row>
    <row r="123" spans="1:31" ht="50" hidden="1">
      <c r="A123" s="56"/>
      <c r="B123" s="48"/>
      <c r="C123" s="59" t="s">
        <v>265</v>
      </c>
      <c r="D123" s="59" t="s">
        <v>258</v>
      </c>
      <c r="E123" s="20"/>
      <c r="F123" s="51"/>
      <c r="G123" s="59"/>
      <c r="H123" s="59"/>
      <c r="I123" s="20" t="s">
        <v>266</v>
      </c>
      <c r="J123" s="51">
        <v>1200000</v>
      </c>
      <c r="K123" s="61">
        <v>61</v>
      </c>
      <c r="L123" s="41">
        <v>0</v>
      </c>
      <c r="M123" s="20">
        <v>121</v>
      </c>
      <c r="N123" s="82">
        <v>290000</v>
      </c>
      <c r="O123" s="86"/>
      <c r="P123" s="86"/>
      <c r="Q123" s="20"/>
      <c r="R123" s="80"/>
      <c r="S123" s="87">
        <f t="shared" ref="S123:T123" si="73">K123+M123+O123+Q123</f>
        <v>182</v>
      </c>
      <c r="T123" s="18">
        <f t="shared" si="73"/>
        <v>290000</v>
      </c>
      <c r="U123" s="27">
        <f>S123/988</f>
        <v>0.18421052631578946</v>
      </c>
      <c r="V123" s="27">
        <f t="shared" si="12"/>
        <v>0.24166666666666667</v>
      </c>
      <c r="W123" s="11"/>
      <c r="X123" s="11"/>
      <c r="Y123" s="11"/>
      <c r="Z123" s="11"/>
      <c r="AA123" s="20" t="s">
        <v>118</v>
      </c>
      <c r="AB123" s="88"/>
      <c r="AC123" s="22"/>
      <c r="AD123" s="44"/>
      <c r="AE123" s="88"/>
    </row>
    <row r="124" spans="1:31" ht="50" hidden="1">
      <c r="A124" s="56"/>
      <c r="B124" s="48"/>
      <c r="C124" s="59" t="s">
        <v>267</v>
      </c>
      <c r="D124" s="59" t="s">
        <v>258</v>
      </c>
      <c r="E124" s="20"/>
      <c r="F124" s="51"/>
      <c r="G124" s="59"/>
      <c r="H124" s="59"/>
      <c r="I124" s="20" t="s">
        <v>268</v>
      </c>
      <c r="J124" s="51">
        <v>1800000</v>
      </c>
      <c r="K124" s="61">
        <v>8</v>
      </c>
      <c r="L124" s="41">
        <v>0</v>
      </c>
      <c r="M124" s="20">
        <v>5</v>
      </c>
      <c r="N124" s="82">
        <v>0</v>
      </c>
      <c r="O124" s="86"/>
      <c r="P124" s="86"/>
      <c r="Q124" s="20"/>
      <c r="R124" s="80"/>
      <c r="S124" s="87">
        <f t="shared" ref="S124:T124" si="74">K124+M124+O124+Q124</f>
        <v>13</v>
      </c>
      <c r="T124" s="18">
        <f t="shared" si="74"/>
        <v>0</v>
      </c>
      <c r="U124" s="27">
        <f>S124/20</f>
        <v>0.65</v>
      </c>
      <c r="V124" s="27">
        <f t="shared" si="12"/>
        <v>0</v>
      </c>
      <c r="W124" s="11"/>
      <c r="X124" s="11"/>
      <c r="Y124" s="11"/>
      <c r="Z124" s="11"/>
      <c r="AA124" s="20" t="s">
        <v>121</v>
      </c>
      <c r="AB124" s="88"/>
      <c r="AC124" s="22"/>
      <c r="AD124" s="44"/>
      <c r="AE124" s="88"/>
    </row>
    <row r="125" spans="1:31" ht="50" hidden="1">
      <c r="A125" s="56"/>
      <c r="B125" s="48"/>
      <c r="C125" s="59" t="s">
        <v>269</v>
      </c>
      <c r="D125" s="59" t="s">
        <v>258</v>
      </c>
      <c r="E125" s="20"/>
      <c r="F125" s="51"/>
      <c r="G125" s="59"/>
      <c r="H125" s="59"/>
      <c r="I125" s="20" t="s">
        <v>270</v>
      </c>
      <c r="J125" s="51">
        <v>100000</v>
      </c>
      <c r="K125" s="61">
        <v>197</v>
      </c>
      <c r="L125" s="41">
        <v>0</v>
      </c>
      <c r="M125" s="20">
        <v>180</v>
      </c>
      <c r="N125" s="82">
        <v>0</v>
      </c>
      <c r="O125" s="86"/>
      <c r="P125" s="86"/>
      <c r="Q125" s="20"/>
      <c r="R125" s="80"/>
      <c r="S125" s="87">
        <f t="shared" ref="S125:T125" si="75">K125+M125+O125+Q125</f>
        <v>377</v>
      </c>
      <c r="T125" s="18">
        <f t="shared" si="75"/>
        <v>0</v>
      </c>
      <c r="U125" s="27">
        <f>S125/685</f>
        <v>0.55036496350364961</v>
      </c>
      <c r="V125" s="27">
        <f t="shared" si="12"/>
        <v>0</v>
      </c>
      <c r="W125" s="11"/>
      <c r="X125" s="11"/>
      <c r="Y125" s="11"/>
      <c r="Z125" s="11"/>
      <c r="AA125" s="20" t="s">
        <v>124</v>
      </c>
      <c r="AB125" s="88"/>
      <c r="AC125" s="22"/>
      <c r="AD125" s="44"/>
      <c r="AE125" s="88"/>
    </row>
    <row r="126" spans="1:31" ht="50" hidden="1">
      <c r="A126" s="56"/>
      <c r="B126" s="48"/>
      <c r="C126" s="59" t="s">
        <v>271</v>
      </c>
      <c r="D126" s="59" t="s">
        <v>258</v>
      </c>
      <c r="E126" s="20"/>
      <c r="F126" s="51"/>
      <c r="G126" s="59"/>
      <c r="H126" s="59"/>
      <c r="I126" s="20" t="s">
        <v>272</v>
      </c>
      <c r="J126" s="51">
        <v>600000</v>
      </c>
      <c r="K126" s="61">
        <v>109</v>
      </c>
      <c r="L126" s="41">
        <v>0</v>
      </c>
      <c r="M126" s="20">
        <v>43</v>
      </c>
      <c r="N126" s="82">
        <v>120000</v>
      </c>
      <c r="O126" s="86"/>
      <c r="P126" s="86"/>
      <c r="Q126" s="20"/>
      <c r="R126" s="80"/>
      <c r="S126" s="87">
        <f t="shared" ref="S126:T126" si="76">K126+M126+O126+Q126</f>
        <v>152</v>
      </c>
      <c r="T126" s="18">
        <f t="shared" si="76"/>
        <v>120000</v>
      </c>
      <c r="U126" s="27">
        <f>S126/468</f>
        <v>0.3247863247863248</v>
      </c>
      <c r="V126" s="27">
        <f t="shared" si="12"/>
        <v>0.2</v>
      </c>
      <c r="W126" s="11"/>
      <c r="X126" s="11"/>
      <c r="Y126" s="11"/>
      <c r="Z126" s="11"/>
      <c r="AA126" s="20" t="s">
        <v>127</v>
      </c>
      <c r="AB126" s="88"/>
      <c r="AC126" s="22"/>
      <c r="AD126" s="44"/>
      <c r="AE126" s="88"/>
    </row>
    <row r="127" spans="1:31" ht="50">
      <c r="A127" s="56"/>
      <c r="B127" s="48"/>
      <c r="C127" s="59" t="s">
        <v>273</v>
      </c>
      <c r="D127" s="59" t="s">
        <v>258</v>
      </c>
      <c r="E127" s="20"/>
      <c r="F127" s="51"/>
      <c r="G127" s="59"/>
      <c r="H127" s="59"/>
      <c r="I127" s="20" t="s">
        <v>274</v>
      </c>
      <c r="J127" s="51">
        <v>1272000</v>
      </c>
      <c r="K127" s="61">
        <v>126</v>
      </c>
      <c r="L127" s="41">
        <v>0</v>
      </c>
      <c r="M127" s="20">
        <v>54</v>
      </c>
      <c r="N127" s="82">
        <v>0</v>
      </c>
      <c r="O127" s="86">
        <v>301</v>
      </c>
      <c r="P127" s="86">
        <v>0</v>
      </c>
      <c r="Q127" s="20">
        <v>290</v>
      </c>
      <c r="R127" s="80"/>
      <c r="S127" s="87">
        <f t="shared" ref="S127:T127" si="77">K127+M127+O127+Q127</f>
        <v>771</v>
      </c>
      <c r="T127" s="18">
        <f t="shared" si="77"/>
        <v>0</v>
      </c>
      <c r="U127" s="27">
        <f>S127/896</f>
        <v>0.8604910714285714</v>
      </c>
      <c r="V127" s="27">
        <f t="shared" si="12"/>
        <v>0</v>
      </c>
      <c r="W127" s="11"/>
      <c r="X127" s="11"/>
      <c r="Y127" s="11"/>
      <c r="Z127" s="11"/>
      <c r="AA127" s="20" t="s">
        <v>130</v>
      </c>
      <c r="AB127" s="88"/>
      <c r="AC127" s="22"/>
      <c r="AD127" s="44"/>
      <c r="AE127" s="88"/>
    </row>
    <row r="128" spans="1:31" ht="50" hidden="1">
      <c r="A128" s="56"/>
      <c r="B128" s="48"/>
      <c r="C128" s="59" t="s">
        <v>275</v>
      </c>
      <c r="D128" s="59" t="s">
        <v>258</v>
      </c>
      <c r="E128" s="20"/>
      <c r="F128" s="51"/>
      <c r="G128" s="59"/>
      <c r="H128" s="59"/>
      <c r="I128" s="20" t="s">
        <v>276</v>
      </c>
      <c r="J128" s="51">
        <v>13000000</v>
      </c>
      <c r="K128" s="61">
        <v>380</v>
      </c>
      <c r="L128" s="41">
        <v>0</v>
      </c>
      <c r="M128" s="20">
        <v>85</v>
      </c>
      <c r="N128" s="82">
        <v>310900</v>
      </c>
      <c r="O128" s="86"/>
      <c r="P128" s="86"/>
      <c r="Q128" s="20"/>
      <c r="R128" s="80"/>
      <c r="S128" s="87">
        <f t="shared" ref="S128:T128" si="78">K128+M128+O128+Q128</f>
        <v>465</v>
      </c>
      <c r="T128" s="18">
        <f t="shared" si="78"/>
        <v>310900</v>
      </c>
      <c r="U128" s="27">
        <f>S128/1388</f>
        <v>0.33501440922190201</v>
      </c>
      <c r="V128" s="27">
        <f t="shared" si="12"/>
        <v>2.3915384615384616E-2</v>
      </c>
      <c r="W128" s="11"/>
      <c r="X128" s="11"/>
      <c r="Y128" s="11"/>
      <c r="Z128" s="11"/>
      <c r="AA128" s="20" t="s">
        <v>133</v>
      </c>
      <c r="AB128" s="88"/>
      <c r="AC128" s="22"/>
      <c r="AD128" s="44"/>
      <c r="AE128" s="88"/>
    </row>
    <row r="129" spans="1:31" ht="50" hidden="1">
      <c r="A129" s="56"/>
      <c r="B129" s="48"/>
      <c r="C129" s="59" t="s">
        <v>277</v>
      </c>
      <c r="D129" s="59" t="s">
        <v>258</v>
      </c>
      <c r="E129" s="20"/>
      <c r="F129" s="51"/>
      <c r="G129" s="59"/>
      <c r="H129" s="59"/>
      <c r="I129" s="20" t="s">
        <v>278</v>
      </c>
      <c r="J129" s="51">
        <v>15000000</v>
      </c>
      <c r="K129" s="61">
        <v>63</v>
      </c>
      <c r="L129" s="41">
        <v>0</v>
      </c>
      <c r="M129" s="20">
        <v>39</v>
      </c>
      <c r="N129" s="82">
        <v>0</v>
      </c>
      <c r="O129" s="86"/>
      <c r="P129" s="86"/>
      <c r="Q129" s="20"/>
      <c r="R129" s="80"/>
      <c r="S129" s="87">
        <f t="shared" ref="S129:T129" si="79">K129+M129+O129+Q129</f>
        <v>102</v>
      </c>
      <c r="T129" s="18">
        <f t="shared" si="79"/>
        <v>0</v>
      </c>
      <c r="U129" s="27">
        <f>S129/600</f>
        <v>0.17</v>
      </c>
      <c r="V129" s="27">
        <f t="shared" si="12"/>
        <v>0</v>
      </c>
      <c r="W129" s="11"/>
      <c r="X129" s="11"/>
      <c r="Y129" s="11"/>
      <c r="Z129" s="11"/>
      <c r="AA129" s="20" t="s">
        <v>142</v>
      </c>
      <c r="AB129" s="88"/>
      <c r="AC129" s="22"/>
      <c r="AD129" s="44"/>
      <c r="AE129" s="88"/>
    </row>
    <row r="130" spans="1:31" ht="50" hidden="1">
      <c r="A130" s="56"/>
      <c r="B130" s="48"/>
      <c r="C130" s="59" t="s">
        <v>279</v>
      </c>
      <c r="D130" s="59" t="s">
        <v>258</v>
      </c>
      <c r="E130" s="20"/>
      <c r="F130" s="51"/>
      <c r="G130" s="59"/>
      <c r="H130" s="59"/>
      <c r="I130" s="20" t="s">
        <v>280</v>
      </c>
      <c r="J130" s="51">
        <v>300000</v>
      </c>
      <c r="K130" s="61">
        <v>359</v>
      </c>
      <c r="L130" s="41">
        <v>0</v>
      </c>
      <c r="M130" s="20">
        <v>137</v>
      </c>
      <c r="N130" s="82">
        <v>0</v>
      </c>
      <c r="O130" s="86"/>
      <c r="P130" s="86"/>
      <c r="Q130" s="20"/>
      <c r="R130" s="80"/>
      <c r="S130" s="87">
        <f t="shared" ref="S130:T130" si="80">K130+M130+O130+Q130</f>
        <v>496</v>
      </c>
      <c r="T130" s="18">
        <f t="shared" si="80"/>
        <v>0</v>
      </c>
      <c r="U130" s="27">
        <f>S130/500</f>
        <v>0.99199999999999999</v>
      </c>
      <c r="V130" s="27">
        <f t="shared" si="12"/>
        <v>0</v>
      </c>
      <c r="W130" s="11"/>
      <c r="X130" s="11"/>
      <c r="Y130" s="11"/>
      <c r="Z130" s="11"/>
      <c r="AA130" s="20" t="s">
        <v>145</v>
      </c>
      <c r="AB130" s="88"/>
      <c r="AC130" s="22"/>
      <c r="AD130" s="44"/>
      <c r="AE130" s="88"/>
    </row>
    <row r="131" spans="1:31" ht="50" hidden="1">
      <c r="A131" s="56"/>
      <c r="B131" s="48"/>
      <c r="C131" s="59" t="s">
        <v>281</v>
      </c>
      <c r="D131" s="59" t="s">
        <v>258</v>
      </c>
      <c r="E131" s="20"/>
      <c r="F131" s="51"/>
      <c r="G131" s="59"/>
      <c r="H131" s="59"/>
      <c r="I131" s="20" t="s">
        <v>282</v>
      </c>
      <c r="J131" s="51">
        <v>2200000</v>
      </c>
      <c r="K131" s="61">
        <v>79</v>
      </c>
      <c r="L131" s="41">
        <v>0</v>
      </c>
      <c r="M131" s="20">
        <v>116</v>
      </c>
      <c r="N131" s="82">
        <v>0</v>
      </c>
      <c r="O131" s="86"/>
      <c r="P131" s="86"/>
      <c r="Q131" s="20"/>
      <c r="R131" s="80"/>
      <c r="S131" s="87">
        <f t="shared" ref="S131:T131" si="81">K131+M131+O131+Q131</f>
        <v>195</v>
      </c>
      <c r="T131" s="18">
        <f t="shared" si="81"/>
        <v>0</v>
      </c>
      <c r="U131" s="27">
        <f>S131/790</f>
        <v>0.24683544303797469</v>
      </c>
      <c r="V131" s="27">
        <f t="shared" si="12"/>
        <v>0</v>
      </c>
      <c r="W131" s="11"/>
      <c r="X131" s="11"/>
      <c r="Y131" s="11"/>
      <c r="Z131" s="11"/>
      <c r="AA131" s="20" t="s">
        <v>148</v>
      </c>
      <c r="AB131" s="88"/>
      <c r="AC131" s="22"/>
      <c r="AD131" s="44"/>
      <c r="AE131" s="88"/>
    </row>
    <row r="132" spans="1:31" ht="50" hidden="1">
      <c r="A132" s="56"/>
      <c r="B132" s="48"/>
      <c r="C132" s="59" t="s">
        <v>283</v>
      </c>
      <c r="D132" s="59" t="s">
        <v>258</v>
      </c>
      <c r="E132" s="20"/>
      <c r="F132" s="51"/>
      <c r="G132" s="59"/>
      <c r="H132" s="59"/>
      <c r="I132" s="20" t="s">
        <v>284</v>
      </c>
      <c r="J132" s="51">
        <v>1672500</v>
      </c>
      <c r="K132" s="61">
        <v>215</v>
      </c>
      <c r="L132" s="41">
        <v>0</v>
      </c>
      <c r="M132" s="20">
        <v>169</v>
      </c>
      <c r="N132" s="82">
        <v>0</v>
      </c>
      <c r="O132" s="86"/>
      <c r="P132" s="86"/>
      <c r="Q132" s="20"/>
      <c r="R132" s="80"/>
      <c r="S132" s="87">
        <f t="shared" ref="S132:T132" si="82">K132+M132+O132+Q132</f>
        <v>384</v>
      </c>
      <c r="T132" s="18">
        <f t="shared" si="82"/>
        <v>0</v>
      </c>
      <c r="U132" s="27">
        <f>S132/751</f>
        <v>0.51131824234354195</v>
      </c>
      <c r="V132" s="27">
        <f t="shared" si="12"/>
        <v>0</v>
      </c>
      <c r="W132" s="11"/>
      <c r="X132" s="11"/>
      <c r="Y132" s="11"/>
      <c r="Z132" s="11"/>
      <c r="AA132" s="20" t="s">
        <v>151</v>
      </c>
      <c r="AB132" s="88"/>
      <c r="AC132" s="22"/>
      <c r="AD132" s="44"/>
      <c r="AE132" s="88"/>
    </row>
    <row r="133" spans="1:31" ht="50" hidden="1">
      <c r="A133" s="56"/>
      <c r="B133" s="48"/>
      <c r="C133" s="59" t="s">
        <v>285</v>
      </c>
      <c r="D133" s="59" t="s">
        <v>258</v>
      </c>
      <c r="E133" s="20"/>
      <c r="F133" s="51"/>
      <c r="G133" s="59"/>
      <c r="H133" s="59"/>
      <c r="I133" s="20" t="s">
        <v>286</v>
      </c>
      <c r="J133" s="51">
        <v>935000</v>
      </c>
      <c r="K133" s="61">
        <v>90</v>
      </c>
      <c r="L133" s="41">
        <v>0</v>
      </c>
      <c r="M133" s="20">
        <v>51</v>
      </c>
      <c r="N133" s="82">
        <v>0</v>
      </c>
      <c r="O133" s="86"/>
      <c r="P133" s="86"/>
      <c r="Q133" s="20"/>
      <c r="R133" s="80"/>
      <c r="S133" s="87">
        <f t="shared" ref="S133:T133" si="83">K133+M133+O133+Q133</f>
        <v>141</v>
      </c>
      <c r="T133" s="18">
        <f t="shared" si="83"/>
        <v>0</v>
      </c>
      <c r="U133" s="27">
        <f>S133/697</f>
        <v>0.20229555236728838</v>
      </c>
      <c r="V133" s="27">
        <f t="shared" si="12"/>
        <v>0</v>
      </c>
      <c r="W133" s="11"/>
      <c r="X133" s="11"/>
      <c r="Y133" s="11"/>
      <c r="Z133" s="11"/>
      <c r="AA133" s="20" t="s">
        <v>154</v>
      </c>
      <c r="AB133" s="88"/>
      <c r="AC133" s="22"/>
      <c r="AD133" s="44"/>
      <c r="AE133" s="88"/>
    </row>
    <row r="134" spans="1:31" ht="50" hidden="1">
      <c r="A134" s="56"/>
      <c r="B134" s="48"/>
      <c r="C134" s="59" t="s">
        <v>287</v>
      </c>
      <c r="D134" s="59" t="s">
        <v>258</v>
      </c>
      <c r="E134" s="20"/>
      <c r="F134" s="51"/>
      <c r="G134" s="59"/>
      <c r="H134" s="59"/>
      <c r="I134" s="20" t="s">
        <v>288</v>
      </c>
      <c r="J134" s="51">
        <v>400000</v>
      </c>
      <c r="K134" s="61">
        <v>96</v>
      </c>
      <c r="L134" s="41">
        <v>0</v>
      </c>
      <c r="M134" s="20">
        <v>62</v>
      </c>
      <c r="N134" s="82">
        <v>0</v>
      </c>
      <c r="O134" s="86"/>
      <c r="P134" s="86"/>
      <c r="Q134" s="20"/>
      <c r="R134" s="80"/>
      <c r="S134" s="87">
        <f t="shared" ref="S134:T134" si="84">K134+M134+O134+Q134</f>
        <v>158</v>
      </c>
      <c r="T134" s="18">
        <f t="shared" si="84"/>
        <v>0</v>
      </c>
      <c r="U134" s="27">
        <f>S134/610</f>
        <v>0.25901639344262295</v>
      </c>
      <c r="V134" s="27">
        <f t="shared" si="12"/>
        <v>0</v>
      </c>
      <c r="W134" s="11"/>
      <c r="X134" s="11"/>
      <c r="Y134" s="11"/>
      <c r="Z134" s="11"/>
      <c r="AA134" s="20" t="s">
        <v>157</v>
      </c>
      <c r="AB134" s="88"/>
      <c r="AC134" s="22"/>
      <c r="AD134" s="44"/>
      <c r="AE134" s="88"/>
    </row>
    <row r="135" spans="1:31" ht="50" hidden="1">
      <c r="A135" s="56"/>
      <c r="B135" s="48"/>
      <c r="C135" s="59" t="s">
        <v>289</v>
      </c>
      <c r="D135" s="59" t="s">
        <v>290</v>
      </c>
      <c r="E135" s="20" t="s">
        <v>291</v>
      </c>
      <c r="F135" s="51">
        <v>604749600</v>
      </c>
      <c r="G135" s="59"/>
      <c r="H135" s="59"/>
      <c r="I135" s="20" t="s">
        <v>292</v>
      </c>
      <c r="J135" s="51">
        <v>761960328</v>
      </c>
      <c r="K135" s="61">
        <v>4157</v>
      </c>
      <c r="L135" s="41">
        <v>0</v>
      </c>
      <c r="M135" s="20">
        <v>2680</v>
      </c>
      <c r="N135" s="82">
        <f>39187500-L135</f>
        <v>39187500</v>
      </c>
      <c r="O135" s="86"/>
      <c r="P135" s="86">
        <f>420475000-L135-N135</f>
        <v>381287500</v>
      </c>
      <c r="Q135" s="20"/>
      <c r="R135" s="80"/>
      <c r="S135" s="87">
        <f t="shared" ref="S135:T135" si="85">K135+M135+O135+Q135</f>
        <v>6837</v>
      </c>
      <c r="T135" s="18">
        <f t="shared" si="85"/>
        <v>420475000</v>
      </c>
      <c r="U135" s="27">
        <f>S135/18600</f>
        <v>0.3675806451612903</v>
      </c>
      <c r="V135" s="27">
        <f t="shared" si="12"/>
        <v>0.55183319202938874</v>
      </c>
      <c r="W135" s="11"/>
      <c r="X135" s="11"/>
      <c r="Y135" s="11"/>
      <c r="Z135" s="11"/>
      <c r="AA135" s="20" t="s">
        <v>56</v>
      </c>
      <c r="AB135" s="88"/>
      <c r="AC135" s="22"/>
      <c r="AD135" s="44"/>
      <c r="AE135" s="88"/>
    </row>
    <row r="136" spans="1:31" ht="50" hidden="1">
      <c r="A136" s="56"/>
      <c r="B136" s="48"/>
      <c r="C136" s="59" t="s">
        <v>293</v>
      </c>
      <c r="D136" s="59" t="s">
        <v>290</v>
      </c>
      <c r="E136" s="20"/>
      <c r="F136" s="51"/>
      <c r="G136" s="59"/>
      <c r="H136" s="59"/>
      <c r="I136" s="20" t="s">
        <v>294</v>
      </c>
      <c r="J136" s="51">
        <v>500000</v>
      </c>
      <c r="K136" s="61">
        <v>252</v>
      </c>
      <c r="L136" s="41">
        <v>0</v>
      </c>
      <c r="M136" s="20">
        <v>153</v>
      </c>
      <c r="N136" s="82">
        <v>0</v>
      </c>
      <c r="O136" s="86"/>
      <c r="P136" s="86"/>
      <c r="Q136" s="20"/>
      <c r="R136" s="80"/>
      <c r="S136" s="87">
        <f t="shared" ref="S136:T136" si="86">K136+M136+O136+Q136</f>
        <v>405</v>
      </c>
      <c r="T136" s="18">
        <f t="shared" si="86"/>
        <v>0</v>
      </c>
      <c r="U136" s="27">
        <f>S136/1000</f>
        <v>0.40500000000000003</v>
      </c>
      <c r="V136" s="27">
        <f t="shared" si="12"/>
        <v>0</v>
      </c>
      <c r="W136" s="11"/>
      <c r="X136" s="11"/>
      <c r="Y136" s="11"/>
      <c r="Z136" s="11"/>
      <c r="AA136" s="20" t="s">
        <v>112</v>
      </c>
      <c r="AB136" s="88"/>
      <c r="AC136" s="22"/>
      <c r="AD136" s="44"/>
      <c r="AE136" s="88"/>
    </row>
    <row r="137" spans="1:31" ht="50" hidden="1">
      <c r="A137" s="56"/>
      <c r="B137" s="48"/>
      <c r="C137" s="59" t="s">
        <v>295</v>
      </c>
      <c r="D137" s="59" t="s">
        <v>290</v>
      </c>
      <c r="E137" s="20"/>
      <c r="F137" s="51"/>
      <c r="G137" s="59"/>
      <c r="H137" s="59"/>
      <c r="I137" s="20" t="s">
        <v>117</v>
      </c>
      <c r="J137" s="51">
        <v>500000</v>
      </c>
      <c r="K137" s="61">
        <v>170</v>
      </c>
      <c r="L137" s="41">
        <v>0</v>
      </c>
      <c r="M137" s="20">
        <v>100</v>
      </c>
      <c r="N137" s="82">
        <v>0</v>
      </c>
      <c r="O137" s="86"/>
      <c r="P137" s="86"/>
      <c r="Q137" s="20"/>
      <c r="R137" s="80"/>
      <c r="S137" s="87">
        <f t="shared" ref="S137:T137" si="87">K137+M137+O137+Q137</f>
        <v>270</v>
      </c>
      <c r="T137" s="18">
        <f t="shared" si="87"/>
        <v>0</v>
      </c>
      <c r="U137" s="27">
        <f>S137/827</f>
        <v>0.32648125755743651</v>
      </c>
      <c r="V137" s="27">
        <f t="shared" si="12"/>
        <v>0</v>
      </c>
      <c r="W137" s="11"/>
      <c r="X137" s="11"/>
      <c r="Y137" s="11"/>
      <c r="Z137" s="11"/>
      <c r="AA137" s="20" t="s">
        <v>118</v>
      </c>
      <c r="AB137" s="88"/>
      <c r="AC137" s="22"/>
      <c r="AD137" s="44"/>
      <c r="AE137" s="88"/>
    </row>
    <row r="138" spans="1:31" ht="50" hidden="1">
      <c r="A138" s="56"/>
      <c r="B138" s="48"/>
      <c r="C138" s="59" t="s">
        <v>296</v>
      </c>
      <c r="D138" s="59" t="s">
        <v>290</v>
      </c>
      <c r="E138" s="20"/>
      <c r="F138" s="51"/>
      <c r="G138" s="59"/>
      <c r="H138" s="59"/>
      <c r="I138" s="20" t="s">
        <v>297</v>
      </c>
      <c r="J138" s="51">
        <v>100000</v>
      </c>
      <c r="K138" s="61">
        <v>172</v>
      </c>
      <c r="L138" s="41">
        <v>0</v>
      </c>
      <c r="M138" s="20">
        <v>103</v>
      </c>
      <c r="N138" s="82">
        <v>0</v>
      </c>
      <c r="O138" s="86"/>
      <c r="P138" s="86"/>
      <c r="Q138" s="20"/>
      <c r="R138" s="80"/>
      <c r="S138" s="87">
        <f t="shared" ref="S138:T138" si="88">K138+M138+O138+Q138</f>
        <v>275</v>
      </c>
      <c r="T138" s="18">
        <f t="shared" si="88"/>
        <v>0</v>
      </c>
      <c r="U138" s="27">
        <f>S138/755</f>
        <v>0.36423841059602646</v>
      </c>
      <c r="V138" s="27">
        <f t="shared" si="12"/>
        <v>0</v>
      </c>
      <c r="W138" s="11"/>
      <c r="X138" s="11"/>
      <c r="Y138" s="11"/>
      <c r="Z138" s="11"/>
      <c r="AA138" s="20" t="s">
        <v>139</v>
      </c>
      <c r="AB138" s="88"/>
      <c r="AC138" s="22"/>
      <c r="AD138" s="44"/>
      <c r="AE138" s="88"/>
    </row>
    <row r="139" spans="1:31" ht="50" hidden="1">
      <c r="A139" s="56"/>
      <c r="B139" s="48"/>
      <c r="C139" s="59" t="s">
        <v>298</v>
      </c>
      <c r="D139" s="59" t="s">
        <v>290</v>
      </c>
      <c r="E139" s="20"/>
      <c r="F139" s="51"/>
      <c r="G139" s="59"/>
      <c r="H139" s="59"/>
      <c r="I139" s="20" t="s">
        <v>299</v>
      </c>
      <c r="J139" s="51">
        <v>2000000</v>
      </c>
      <c r="K139" s="61">
        <v>213</v>
      </c>
      <c r="L139" s="41">
        <v>0</v>
      </c>
      <c r="M139" s="20">
        <v>169</v>
      </c>
      <c r="N139" s="82">
        <v>0</v>
      </c>
      <c r="O139" s="86"/>
      <c r="P139" s="86"/>
      <c r="Q139" s="20"/>
      <c r="R139" s="80"/>
      <c r="S139" s="87">
        <f t="shared" ref="S139:T139" si="89">K139+M139+O139+Q139</f>
        <v>382</v>
      </c>
      <c r="T139" s="18">
        <f t="shared" si="89"/>
        <v>0</v>
      </c>
      <c r="U139" s="27">
        <v>1</v>
      </c>
      <c r="V139" s="27">
        <f t="shared" si="12"/>
        <v>0</v>
      </c>
      <c r="W139" s="11"/>
      <c r="X139" s="11"/>
      <c r="Y139" s="11"/>
      <c r="Z139" s="11"/>
      <c r="AA139" s="20" t="s">
        <v>142</v>
      </c>
      <c r="AB139" s="88"/>
      <c r="AC139" s="22"/>
      <c r="AD139" s="44"/>
      <c r="AE139" s="88"/>
    </row>
    <row r="140" spans="1:31" ht="50" hidden="1">
      <c r="A140" s="56"/>
      <c r="B140" s="48"/>
      <c r="C140" s="59" t="s">
        <v>300</v>
      </c>
      <c r="D140" s="59" t="s">
        <v>290</v>
      </c>
      <c r="E140" s="20"/>
      <c r="F140" s="51"/>
      <c r="G140" s="59"/>
      <c r="H140" s="59"/>
      <c r="I140" s="20" t="s">
        <v>280</v>
      </c>
      <c r="J140" s="51">
        <v>1600000</v>
      </c>
      <c r="K140" s="61">
        <v>225</v>
      </c>
      <c r="L140" s="41">
        <v>0</v>
      </c>
      <c r="M140" s="20">
        <v>181</v>
      </c>
      <c r="N140" s="82">
        <v>0</v>
      </c>
      <c r="O140" s="86"/>
      <c r="P140" s="86"/>
      <c r="Q140" s="20"/>
      <c r="R140" s="80"/>
      <c r="S140" s="87">
        <f t="shared" ref="S140:T140" si="90">K140+M140+O140+Q140</f>
        <v>406</v>
      </c>
      <c r="T140" s="18">
        <f t="shared" si="90"/>
        <v>0</v>
      </c>
      <c r="U140" s="27">
        <f>S140/500</f>
        <v>0.81200000000000006</v>
      </c>
      <c r="V140" s="27">
        <f t="shared" si="12"/>
        <v>0</v>
      </c>
      <c r="W140" s="11"/>
      <c r="X140" s="11"/>
      <c r="Y140" s="11"/>
      <c r="Z140" s="11"/>
      <c r="AA140" s="20" t="s">
        <v>145</v>
      </c>
      <c r="AB140" s="88"/>
      <c r="AC140" s="22"/>
      <c r="AD140" s="44"/>
      <c r="AE140" s="88"/>
    </row>
    <row r="141" spans="1:31" ht="50" hidden="1">
      <c r="A141" s="56"/>
      <c r="B141" s="48"/>
      <c r="C141" s="59" t="s">
        <v>301</v>
      </c>
      <c r="D141" s="59" t="s">
        <v>290</v>
      </c>
      <c r="E141" s="20"/>
      <c r="F141" s="51"/>
      <c r="G141" s="59"/>
      <c r="H141" s="59"/>
      <c r="I141" s="20" t="s">
        <v>302</v>
      </c>
      <c r="J141" s="51">
        <v>500000</v>
      </c>
      <c r="K141" s="61">
        <v>145</v>
      </c>
      <c r="L141" s="41">
        <v>0</v>
      </c>
      <c r="M141" s="20">
        <v>157</v>
      </c>
      <c r="N141" s="82">
        <v>0</v>
      </c>
      <c r="O141" s="86"/>
      <c r="P141" s="86"/>
      <c r="Q141" s="20"/>
      <c r="R141" s="80"/>
      <c r="S141" s="87">
        <f t="shared" ref="S141:T141" si="91">K141+M141+O141+Q141</f>
        <v>302</v>
      </c>
      <c r="T141" s="18">
        <f t="shared" si="91"/>
        <v>0</v>
      </c>
      <c r="U141" s="27">
        <f>S141/576</f>
        <v>0.52430555555555558</v>
      </c>
      <c r="V141" s="27">
        <f t="shared" si="12"/>
        <v>0</v>
      </c>
      <c r="W141" s="11"/>
      <c r="X141" s="11"/>
      <c r="Y141" s="11"/>
      <c r="Z141" s="11"/>
      <c r="AA141" s="20" t="s">
        <v>148</v>
      </c>
      <c r="AB141" s="88"/>
      <c r="AC141" s="22"/>
      <c r="AD141" s="44"/>
      <c r="AE141" s="88"/>
    </row>
    <row r="142" spans="1:31" ht="50" hidden="1">
      <c r="A142" s="56"/>
      <c r="B142" s="48"/>
      <c r="C142" s="59" t="s">
        <v>303</v>
      </c>
      <c r="D142" s="59" t="s">
        <v>290</v>
      </c>
      <c r="E142" s="20"/>
      <c r="F142" s="51"/>
      <c r="G142" s="59"/>
      <c r="H142" s="59"/>
      <c r="I142" s="20" t="s">
        <v>304</v>
      </c>
      <c r="J142" s="51">
        <v>2000000</v>
      </c>
      <c r="K142" s="61">
        <v>309</v>
      </c>
      <c r="L142" s="41">
        <v>0</v>
      </c>
      <c r="M142" s="20">
        <v>75</v>
      </c>
      <c r="N142" s="82">
        <v>0</v>
      </c>
      <c r="O142" s="86"/>
      <c r="P142" s="86"/>
      <c r="Q142" s="20"/>
      <c r="R142" s="80"/>
      <c r="S142" s="87">
        <f t="shared" ref="S142:T142" si="92">K142+M142+O142+Q142</f>
        <v>384</v>
      </c>
      <c r="T142" s="18">
        <f t="shared" si="92"/>
        <v>0</v>
      </c>
      <c r="U142" s="27">
        <v>1</v>
      </c>
      <c r="V142" s="27">
        <f t="shared" si="12"/>
        <v>0</v>
      </c>
      <c r="W142" s="11"/>
      <c r="X142" s="11"/>
      <c r="Y142" s="11"/>
      <c r="Z142" s="11"/>
      <c r="AA142" s="20" t="s">
        <v>151</v>
      </c>
      <c r="AB142" s="88"/>
      <c r="AC142" s="22"/>
      <c r="AD142" s="44"/>
      <c r="AE142" s="88"/>
    </row>
    <row r="143" spans="1:31" ht="50" hidden="1">
      <c r="A143" s="56"/>
      <c r="B143" s="48"/>
      <c r="C143" s="59" t="s">
        <v>305</v>
      </c>
      <c r="D143" s="59" t="s">
        <v>290</v>
      </c>
      <c r="E143" s="20"/>
      <c r="F143" s="51"/>
      <c r="G143" s="59"/>
      <c r="H143" s="59"/>
      <c r="I143" s="20" t="s">
        <v>306</v>
      </c>
      <c r="J143" s="51">
        <v>400000</v>
      </c>
      <c r="K143" s="61">
        <v>127</v>
      </c>
      <c r="L143" s="41">
        <v>0</v>
      </c>
      <c r="M143" s="20">
        <v>99</v>
      </c>
      <c r="N143" s="82">
        <v>0</v>
      </c>
      <c r="O143" s="86"/>
      <c r="P143" s="86"/>
      <c r="Q143" s="20"/>
      <c r="R143" s="80"/>
      <c r="S143" s="87">
        <f t="shared" ref="S143:T143" si="93">K143+M143+O143+Q143</f>
        <v>226</v>
      </c>
      <c r="T143" s="18">
        <f t="shared" si="93"/>
        <v>0</v>
      </c>
      <c r="U143" s="27">
        <f>S143/505</f>
        <v>0.44752475247524753</v>
      </c>
      <c r="V143" s="27">
        <f t="shared" si="12"/>
        <v>0</v>
      </c>
      <c r="W143" s="11"/>
      <c r="X143" s="11"/>
      <c r="Y143" s="11"/>
      <c r="Z143" s="11"/>
      <c r="AA143" s="20" t="s">
        <v>154</v>
      </c>
      <c r="AB143" s="88"/>
      <c r="AC143" s="22"/>
      <c r="AD143" s="44"/>
      <c r="AE143" s="88"/>
    </row>
    <row r="144" spans="1:31" ht="37.5" hidden="1">
      <c r="A144" s="56"/>
      <c r="B144" s="48"/>
      <c r="C144" s="59" t="s">
        <v>307</v>
      </c>
      <c r="D144" s="59" t="s">
        <v>308</v>
      </c>
      <c r="E144" s="20" t="s">
        <v>309</v>
      </c>
      <c r="F144" s="51">
        <v>1240015675</v>
      </c>
      <c r="G144" s="59"/>
      <c r="H144" s="59"/>
      <c r="I144" s="20" t="s">
        <v>310</v>
      </c>
      <c r="J144" s="51">
        <v>2453406048</v>
      </c>
      <c r="K144" s="61">
        <v>5</v>
      </c>
      <c r="L144" s="41">
        <v>195805373</v>
      </c>
      <c r="M144" s="20">
        <v>0</v>
      </c>
      <c r="N144" s="82">
        <f>536471323-L144</f>
        <v>340665950</v>
      </c>
      <c r="O144" s="86"/>
      <c r="P144" s="86">
        <f>1309760423-L144-N144</f>
        <v>773289100</v>
      </c>
      <c r="Q144" s="20"/>
      <c r="R144" s="80"/>
      <c r="S144" s="87">
        <f t="shared" ref="S144:T144" si="94">K144+M144+O144+Q144</f>
        <v>5</v>
      </c>
      <c r="T144" s="18">
        <f t="shared" si="94"/>
        <v>1309760423</v>
      </c>
      <c r="U144" s="27">
        <f>S144/6</f>
        <v>0.83333333333333337</v>
      </c>
      <c r="V144" s="27">
        <f t="shared" si="12"/>
        <v>0.53385391467005949</v>
      </c>
      <c r="W144" s="11"/>
      <c r="X144" s="11"/>
      <c r="Y144" s="11"/>
      <c r="Z144" s="11"/>
      <c r="AA144" s="20" t="s">
        <v>56</v>
      </c>
      <c r="AB144" s="88"/>
      <c r="AC144" s="22"/>
      <c r="AD144" s="44"/>
      <c r="AE144" s="88"/>
    </row>
    <row r="145" spans="1:31" ht="37.5" hidden="1">
      <c r="A145" s="56"/>
      <c r="B145" s="48"/>
      <c r="C145" s="59" t="s">
        <v>311</v>
      </c>
      <c r="D145" s="59" t="s">
        <v>308</v>
      </c>
      <c r="E145" s="20"/>
      <c r="F145" s="51"/>
      <c r="G145" s="59"/>
      <c r="H145" s="59"/>
      <c r="I145" s="20" t="s">
        <v>312</v>
      </c>
      <c r="J145" s="51">
        <v>234080000</v>
      </c>
      <c r="K145" s="61">
        <v>3</v>
      </c>
      <c r="L145" s="41">
        <v>0</v>
      </c>
      <c r="M145" s="20">
        <v>2</v>
      </c>
      <c r="N145" s="82">
        <v>12060000</v>
      </c>
      <c r="O145" s="86"/>
      <c r="P145" s="86"/>
      <c r="Q145" s="20"/>
      <c r="R145" s="80"/>
      <c r="S145" s="87">
        <f t="shared" ref="S145:T145" si="95">K145+M145+O145+Q145</f>
        <v>5</v>
      </c>
      <c r="T145" s="18">
        <f t="shared" si="95"/>
        <v>12060000</v>
      </c>
      <c r="U145" s="27">
        <f t="shared" ref="U145:U148" si="96">S145/12</f>
        <v>0.41666666666666669</v>
      </c>
      <c r="V145" s="27">
        <f t="shared" si="12"/>
        <v>5.1520847573479155E-2</v>
      </c>
      <c r="W145" s="11"/>
      <c r="X145" s="11"/>
      <c r="Y145" s="11"/>
      <c r="Z145" s="11"/>
      <c r="AA145" s="20" t="s">
        <v>112</v>
      </c>
      <c r="AB145" s="88"/>
      <c r="AC145" s="22"/>
      <c r="AD145" s="44"/>
      <c r="AE145" s="88"/>
    </row>
    <row r="146" spans="1:31" ht="37.5" hidden="1">
      <c r="A146" s="56"/>
      <c r="B146" s="48"/>
      <c r="C146" s="59" t="s">
        <v>313</v>
      </c>
      <c r="D146" s="59" t="s">
        <v>308</v>
      </c>
      <c r="E146" s="20"/>
      <c r="F146" s="51"/>
      <c r="G146" s="59"/>
      <c r="H146" s="59"/>
      <c r="I146" s="20" t="s">
        <v>312</v>
      </c>
      <c r="J146" s="51">
        <v>140081000</v>
      </c>
      <c r="K146" s="61">
        <v>3</v>
      </c>
      <c r="L146" s="41">
        <v>0</v>
      </c>
      <c r="M146" s="20">
        <v>2</v>
      </c>
      <c r="N146" s="82">
        <v>2795950</v>
      </c>
      <c r="O146" s="86"/>
      <c r="P146" s="86"/>
      <c r="Q146" s="20"/>
      <c r="R146" s="80"/>
      <c r="S146" s="87">
        <f t="shared" ref="S146:T146" si="97">K146+M146+O146+Q146</f>
        <v>5</v>
      </c>
      <c r="T146" s="18">
        <f t="shared" si="97"/>
        <v>2795950</v>
      </c>
      <c r="U146" s="27">
        <f t="shared" si="96"/>
        <v>0.41666666666666669</v>
      </c>
      <c r="V146" s="27">
        <f t="shared" si="12"/>
        <v>1.9959523418593528E-2</v>
      </c>
      <c r="W146" s="11"/>
      <c r="X146" s="11"/>
      <c r="Y146" s="11"/>
      <c r="Z146" s="11"/>
      <c r="AA146" s="20" t="s">
        <v>115</v>
      </c>
      <c r="AB146" s="88"/>
      <c r="AC146" s="22"/>
      <c r="AD146" s="44"/>
      <c r="AE146" s="88"/>
    </row>
    <row r="147" spans="1:31" ht="37.5" hidden="1">
      <c r="A147" s="56"/>
      <c r="B147" s="48"/>
      <c r="C147" s="59" t="s">
        <v>314</v>
      </c>
      <c r="D147" s="59" t="s">
        <v>308</v>
      </c>
      <c r="E147" s="20"/>
      <c r="F147" s="51"/>
      <c r="G147" s="59"/>
      <c r="H147" s="59"/>
      <c r="I147" s="20" t="s">
        <v>312</v>
      </c>
      <c r="J147" s="51">
        <v>61329000</v>
      </c>
      <c r="K147" s="61">
        <v>3</v>
      </c>
      <c r="L147" s="41">
        <v>0</v>
      </c>
      <c r="M147" s="20">
        <v>2</v>
      </c>
      <c r="N147" s="82">
        <v>0</v>
      </c>
      <c r="O147" s="86"/>
      <c r="P147" s="86"/>
      <c r="Q147" s="20"/>
      <c r="R147" s="80"/>
      <c r="S147" s="87">
        <f t="shared" ref="S147:T147" si="98">K147+M147+O147+Q147</f>
        <v>5</v>
      </c>
      <c r="T147" s="18">
        <f t="shared" si="98"/>
        <v>0</v>
      </c>
      <c r="U147" s="27">
        <f t="shared" si="96"/>
        <v>0.41666666666666669</v>
      </c>
      <c r="V147" s="27">
        <f t="shared" si="12"/>
        <v>0</v>
      </c>
      <c r="W147" s="11"/>
      <c r="X147" s="11"/>
      <c r="Y147" s="11"/>
      <c r="Z147" s="11"/>
      <c r="AA147" s="20" t="s">
        <v>118</v>
      </c>
      <c r="AB147" s="88"/>
      <c r="AC147" s="22"/>
      <c r="AD147" s="44"/>
      <c r="AE147" s="88"/>
    </row>
    <row r="148" spans="1:31" ht="37.5" hidden="1">
      <c r="A148" s="56"/>
      <c r="B148" s="48"/>
      <c r="C148" s="59" t="s">
        <v>315</v>
      </c>
      <c r="D148" s="59" t="s">
        <v>308</v>
      </c>
      <c r="E148" s="20"/>
      <c r="F148" s="51"/>
      <c r="G148" s="59"/>
      <c r="H148" s="59"/>
      <c r="I148" s="20" t="s">
        <v>312</v>
      </c>
      <c r="J148" s="51">
        <v>164068000</v>
      </c>
      <c r="K148" s="61">
        <v>3</v>
      </c>
      <c r="L148" s="41">
        <v>0</v>
      </c>
      <c r="M148" s="20">
        <v>2</v>
      </c>
      <c r="N148" s="82">
        <v>3484000</v>
      </c>
      <c r="O148" s="86"/>
      <c r="P148" s="86"/>
      <c r="Q148" s="20"/>
      <c r="R148" s="80"/>
      <c r="S148" s="87">
        <f t="shared" ref="S148:T148" si="99">K148+M148+O148+Q148</f>
        <v>5</v>
      </c>
      <c r="T148" s="18">
        <f t="shared" si="99"/>
        <v>3484000</v>
      </c>
      <c r="U148" s="27">
        <f t="shared" si="96"/>
        <v>0.41666666666666669</v>
      </c>
      <c r="V148" s="27">
        <f t="shared" si="12"/>
        <v>2.1235097642440939E-2</v>
      </c>
      <c r="W148" s="11"/>
      <c r="X148" s="11"/>
      <c r="Y148" s="11"/>
      <c r="Z148" s="11"/>
      <c r="AA148" s="20" t="s">
        <v>121</v>
      </c>
      <c r="AB148" s="88"/>
      <c r="AC148" s="22"/>
      <c r="AD148" s="44"/>
      <c r="AE148" s="88"/>
    </row>
    <row r="149" spans="1:31" ht="37.5" hidden="1">
      <c r="A149" s="56"/>
      <c r="B149" s="48"/>
      <c r="C149" s="59" t="s">
        <v>316</v>
      </c>
      <c r="D149" s="59" t="s">
        <v>308</v>
      </c>
      <c r="E149" s="20"/>
      <c r="F149" s="51"/>
      <c r="G149" s="59"/>
      <c r="H149" s="59"/>
      <c r="I149" s="20" t="s">
        <v>312</v>
      </c>
      <c r="J149" s="51">
        <v>178208000</v>
      </c>
      <c r="K149" s="61">
        <v>3</v>
      </c>
      <c r="L149" s="41">
        <v>0</v>
      </c>
      <c r="M149" s="20">
        <v>3</v>
      </c>
      <c r="N149" s="82">
        <v>15571500</v>
      </c>
      <c r="O149" s="86"/>
      <c r="P149" s="86"/>
      <c r="Q149" s="20"/>
      <c r="R149" s="80"/>
      <c r="S149" s="87">
        <f t="shared" ref="S149:T149" si="100">K149+M149+O149+Q149</f>
        <v>6</v>
      </c>
      <c r="T149" s="18">
        <f t="shared" si="100"/>
        <v>15571500</v>
      </c>
      <c r="U149" s="27">
        <f>6/12</f>
        <v>0.5</v>
      </c>
      <c r="V149" s="27">
        <f t="shared" si="12"/>
        <v>8.7378232178128928E-2</v>
      </c>
      <c r="W149" s="11"/>
      <c r="X149" s="11"/>
      <c r="Y149" s="11"/>
      <c r="Z149" s="11"/>
      <c r="AA149" s="20" t="s">
        <v>124</v>
      </c>
      <c r="AB149" s="88"/>
      <c r="AC149" s="22"/>
      <c r="AD149" s="44"/>
      <c r="AE149" s="88"/>
    </row>
    <row r="150" spans="1:31" ht="50" hidden="1">
      <c r="A150" s="56"/>
      <c r="B150" s="48"/>
      <c r="C150" s="59" t="s">
        <v>317</v>
      </c>
      <c r="D150" s="59" t="s">
        <v>308</v>
      </c>
      <c r="E150" s="20"/>
      <c r="F150" s="51"/>
      <c r="G150" s="59"/>
      <c r="H150" s="59"/>
      <c r="I150" s="20" t="s">
        <v>312</v>
      </c>
      <c r="J150" s="51">
        <v>70780000</v>
      </c>
      <c r="K150" s="61">
        <v>3</v>
      </c>
      <c r="L150" s="41">
        <v>0</v>
      </c>
      <c r="M150" s="20">
        <v>2</v>
      </c>
      <c r="N150" s="82">
        <v>11365000</v>
      </c>
      <c r="O150" s="86"/>
      <c r="P150" s="86"/>
      <c r="Q150" s="20"/>
      <c r="R150" s="80"/>
      <c r="S150" s="87">
        <f t="shared" ref="S150:T150" si="101">K150+M150+O150+Q150</f>
        <v>5</v>
      </c>
      <c r="T150" s="18">
        <f t="shared" si="101"/>
        <v>11365000</v>
      </c>
      <c r="U150" s="27">
        <f t="shared" ref="U150:U151" si="102">S150/12</f>
        <v>0.41666666666666669</v>
      </c>
      <c r="V150" s="27">
        <f t="shared" si="12"/>
        <v>0.16056795705001412</v>
      </c>
      <c r="W150" s="11"/>
      <c r="X150" s="11"/>
      <c r="Y150" s="11"/>
      <c r="Z150" s="11"/>
      <c r="AA150" s="20" t="s">
        <v>127</v>
      </c>
      <c r="AB150" s="88"/>
      <c r="AC150" s="22"/>
      <c r="AD150" s="44"/>
      <c r="AE150" s="88"/>
    </row>
    <row r="151" spans="1:31" ht="37.5">
      <c r="A151" s="56"/>
      <c r="B151" s="48"/>
      <c r="C151" s="59" t="s">
        <v>318</v>
      </c>
      <c r="D151" s="59" t="s">
        <v>308</v>
      </c>
      <c r="E151" s="20"/>
      <c r="F151" s="51"/>
      <c r="G151" s="59"/>
      <c r="H151" s="59"/>
      <c r="I151" s="20" t="s">
        <v>312</v>
      </c>
      <c r="J151" s="51">
        <v>312506000</v>
      </c>
      <c r="K151" s="61">
        <v>3</v>
      </c>
      <c r="L151" s="41">
        <v>0</v>
      </c>
      <c r="M151" s="20">
        <v>3</v>
      </c>
      <c r="N151" s="82">
        <v>20100000</v>
      </c>
      <c r="O151" s="86">
        <v>3</v>
      </c>
      <c r="P151" s="86">
        <v>120524342</v>
      </c>
      <c r="Q151" s="20">
        <v>3</v>
      </c>
      <c r="R151" s="80">
        <v>55637985</v>
      </c>
      <c r="S151" s="87">
        <f t="shared" ref="S151:T151" si="103">K151+M151+O151+Q151</f>
        <v>12</v>
      </c>
      <c r="T151" s="18">
        <f t="shared" si="103"/>
        <v>196262327</v>
      </c>
      <c r="U151" s="27">
        <f t="shared" si="102"/>
        <v>1</v>
      </c>
      <c r="V151" s="27">
        <f t="shared" si="12"/>
        <v>0.62802738827414517</v>
      </c>
      <c r="W151" s="11"/>
      <c r="X151" s="11"/>
      <c r="Y151" s="11"/>
      <c r="Z151" s="11"/>
      <c r="AA151" s="20" t="s">
        <v>130</v>
      </c>
      <c r="AB151" s="88"/>
      <c r="AC151" s="22"/>
      <c r="AD151" s="44"/>
      <c r="AE151" s="88"/>
    </row>
    <row r="152" spans="1:31" ht="50" hidden="1">
      <c r="A152" s="56"/>
      <c r="B152" s="48"/>
      <c r="C152" s="59" t="s">
        <v>319</v>
      </c>
      <c r="D152" s="59" t="s">
        <v>308</v>
      </c>
      <c r="E152" s="20"/>
      <c r="F152" s="51"/>
      <c r="G152" s="59"/>
      <c r="H152" s="59"/>
      <c r="I152" s="20" t="s">
        <v>320</v>
      </c>
      <c r="J152" s="51">
        <v>174020000</v>
      </c>
      <c r="K152" s="61">
        <v>4</v>
      </c>
      <c r="L152" s="41">
        <v>0</v>
      </c>
      <c r="M152" s="20">
        <v>2</v>
      </c>
      <c r="N152" s="82">
        <v>0</v>
      </c>
      <c r="O152" s="86"/>
      <c r="P152" s="86"/>
      <c r="Q152" s="20"/>
      <c r="R152" s="80"/>
      <c r="S152" s="87">
        <f t="shared" ref="S152:T152" si="104">K152+M152+O152+Q152</f>
        <v>6</v>
      </c>
      <c r="T152" s="18">
        <f t="shared" si="104"/>
        <v>0</v>
      </c>
      <c r="U152" s="27">
        <f t="shared" ref="U152:U153" si="105">6/14</f>
        <v>0.42857142857142855</v>
      </c>
      <c r="V152" s="27">
        <f t="shared" si="12"/>
        <v>0</v>
      </c>
      <c r="W152" s="11"/>
      <c r="X152" s="11"/>
      <c r="Y152" s="11"/>
      <c r="Z152" s="11"/>
      <c r="AA152" s="20" t="s">
        <v>133</v>
      </c>
      <c r="AB152" s="88"/>
      <c r="AC152" s="22"/>
      <c r="AD152" s="44"/>
      <c r="AE152" s="88"/>
    </row>
    <row r="153" spans="1:31" ht="37.5" hidden="1">
      <c r="A153" s="56"/>
      <c r="B153" s="48"/>
      <c r="C153" s="59" t="s">
        <v>321</v>
      </c>
      <c r="D153" s="59" t="s">
        <v>308</v>
      </c>
      <c r="E153" s="20"/>
      <c r="F153" s="51"/>
      <c r="G153" s="59"/>
      <c r="H153" s="59"/>
      <c r="I153" s="20" t="s">
        <v>320</v>
      </c>
      <c r="J153" s="51">
        <v>526189000</v>
      </c>
      <c r="K153" s="61">
        <v>4</v>
      </c>
      <c r="L153" s="41">
        <v>0</v>
      </c>
      <c r="M153" s="20">
        <v>2</v>
      </c>
      <c r="N153" s="82">
        <v>47022000</v>
      </c>
      <c r="O153" s="86"/>
      <c r="P153" s="86"/>
      <c r="Q153" s="20"/>
      <c r="R153" s="80"/>
      <c r="S153" s="87">
        <f t="shared" ref="S153:T153" si="106">K153+M153+O153+Q153</f>
        <v>6</v>
      </c>
      <c r="T153" s="18">
        <f t="shared" si="106"/>
        <v>47022000</v>
      </c>
      <c r="U153" s="27">
        <f t="shared" si="105"/>
        <v>0.42857142857142855</v>
      </c>
      <c r="V153" s="27">
        <f t="shared" si="12"/>
        <v>8.9363327625625016E-2</v>
      </c>
      <c r="W153" s="11"/>
      <c r="X153" s="11"/>
      <c r="Y153" s="11"/>
      <c r="Z153" s="11"/>
      <c r="AA153" s="20" t="s">
        <v>136</v>
      </c>
      <c r="AB153" s="88"/>
      <c r="AC153" s="22"/>
      <c r="AD153" s="44"/>
      <c r="AE153" s="88"/>
    </row>
    <row r="154" spans="1:31" ht="37.5" hidden="1">
      <c r="A154" s="56"/>
      <c r="B154" s="48"/>
      <c r="C154" s="59" t="s">
        <v>322</v>
      </c>
      <c r="D154" s="59" t="s">
        <v>308</v>
      </c>
      <c r="E154" s="20"/>
      <c r="F154" s="51"/>
      <c r="G154" s="59"/>
      <c r="H154" s="59"/>
      <c r="I154" s="20" t="s">
        <v>312</v>
      </c>
      <c r="J154" s="51">
        <v>304828000</v>
      </c>
      <c r="K154" s="61">
        <v>3</v>
      </c>
      <c r="L154" s="41">
        <v>0</v>
      </c>
      <c r="M154" s="20">
        <v>2</v>
      </c>
      <c r="N154" s="82">
        <v>3685000</v>
      </c>
      <c r="O154" s="86"/>
      <c r="P154" s="86"/>
      <c r="Q154" s="20"/>
      <c r="R154" s="80"/>
      <c r="S154" s="87">
        <f t="shared" ref="S154:T154" si="107">K154+M154+O154+Q154</f>
        <v>5</v>
      </c>
      <c r="T154" s="18">
        <f t="shared" si="107"/>
        <v>3685000</v>
      </c>
      <c r="U154" s="27">
        <f t="shared" ref="U154:U156" si="108">5/12</f>
        <v>0.41666666666666669</v>
      </c>
      <c r="V154" s="27">
        <f t="shared" si="12"/>
        <v>1.2088784494862677E-2</v>
      </c>
      <c r="W154" s="11"/>
      <c r="X154" s="11"/>
      <c r="Y154" s="11"/>
      <c r="Z154" s="11"/>
      <c r="AA154" s="20" t="s">
        <v>139</v>
      </c>
      <c r="AB154" s="88"/>
      <c r="AC154" s="22"/>
      <c r="AD154" s="44"/>
      <c r="AE154" s="88"/>
    </row>
    <row r="155" spans="1:31" ht="37.5" hidden="1">
      <c r="A155" s="56"/>
      <c r="B155" s="48"/>
      <c r="C155" s="59" t="s">
        <v>323</v>
      </c>
      <c r="D155" s="59" t="s">
        <v>308</v>
      </c>
      <c r="E155" s="20"/>
      <c r="F155" s="51"/>
      <c r="G155" s="59"/>
      <c r="H155" s="59"/>
      <c r="I155" s="20" t="s">
        <v>312</v>
      </c>
      <c r="J155" s="51">
        <v>118341000</v>
      </c>
      <c r="K155" s="61">
        <v>3</v>
      </c>
      <c r="L155" s="41">
        <v>0</v>
      </c>
      <c r="M155" s="20">
        <v>2</v>
      </c>
      <c r="N155" s="82">
        <v>2688000</v>
      </c>
      <c r="O155" s="86"/>
      <c r="P155" s="86"/>
      <c r="Q155" s="20"/>
      <c r="R155" s="80"/>
      <c r="S155" s="87">
        <f t="shared" ref="S155:T155" si="109">K155+M155+O155+Q155</f>
        <v>5</v>
      </c>
      <c r="T155" s="18">
        <f t="shared" si="109"/>
        <v>2688000</v>
      </c>
      <c r="U155" s="27">
        <f t="shared" si="108"/>
        <v>0.41666666666666669</v>
      </c>
      <c r="V155" s="27">
        <f t="shared" si="12"/>
        <v>2.2714021345095953E-2</v>
      </c>
      <c r="W155" s="11"/>
      <c r="X155" s="11"/>
      <c r="Y155" s="11"/>
      <c r="Z155" s="11"/>
      <c r="AA155" s="20" t="s">
        <v>142</v>
      </c>
      <c r="AB155" s="88"/>
      <c r="AC155" s="22"/>
      <c r="AD155" s="44"/>
      <c r="AE155" s="88"/>
    </row>
    <row r="156" spans="1:31" ht="37.5" hidden="1">
      <c r="A156" s="56"/>
      <c r="B156" s="48"/>
      <c r="C156" s="59" t="s">
        <v>324</v>
      </c>
      <c r="D156" s="59" t="s">
        <v>308</v>
      </c>
      <c r="E156" s="20"/>
      <c r="F156" s="51"/>
      <c r="G156" s="59"/>
      <c r="H156" s="59"/>
      <c r="I156" s="20" t="s">
        <v>312</v>
      </c>
      <c r="J156" s="51">
        <v>63968000</v>
      </c>
      <c r="K156" s="61">
        <v>3</v>
      </c>
      <c r="L156" s="41">
        <v>0</v>
      </c>
      <c r="M156" s="20">
        <v>2</v>
      </c>
      <c r="N156" s="82">
        <v>6692540</v>
      </c>
      <c r="O156" s="86"/>
      <c r="P156" s="86"/>
      <c r="Q156" s="20"/>
      <c r="R156" s="80"/>
      <c r="S156" s="87">
        <f t="shared" ref="S156:T156" si="110">K156+M156+O156+Q156</f>
        <v>5</v>
      </c>
      <c r="T156" s="18">
        <f t="shared" si="110"/>
        <v>6692540</v>
      </c>
      <c r="U156" s="27">
        <f t="shared" si="108"/>
        <v>0.41666666666666669</v>
      </c>
      <c r="V156" s="27">
        <f t="shared" si="12"/>
        <v>0.10462324912456228</v>
      </c>
      <c r="W156" s="11"/>
      <c r="X156" s="11"/>
      <c r="Y156" s="11"/>
      <c r="Z156" s="11"/>
      <c r="AA156" s="20" t="s">
        <v>145</v>
      </c>
      <c r="AB156" s="88"/>
      <c r="AC156" s="22"/>
      <c r="AD156" s="44"/>
      <c r="AE156" s="88"/>
    </row>
    <row r="157" spans="1:31" ht="37.5" hidden="1">
      <c r="A157" s="56"/>
      <c r="B157" s="48"/>
      <c r="C157" s="59" t="s">
        <v>325</v>
      </c>
      <c r="D157" s="59" t="s">
        <v>308</v>
      </c>
      <c r="E157" s="20"/>
      <c r="F157" s="51"/>
      <c r="G157" s="59"/>
      <c r="H157" s="59"/>
      <c r="I157" s="20" t="s">
        <v>312</v>
      </c>
      <c r="J157" s="51">
        <v>102807000</v>
      </c>
      <c r="K157" s="61">
        <v>3</v>
      </c>
      <c r="L157" s="41">
        <v>0</v>
      </c>
      <c r="M157" s="20">
        <v>2</v>
      </c>
      <c r="N157" s="82">
        <v>0</v>
      </c>
      <c r="O157" s="86"/>
      <c r="P157" s="86"/>
      <c r="Q157" s="20"/>
      <c r="R157" s="80"/>
      <c r="S157" s="87">
        <f t="shared" ref="S157:T157" si="111">K157+M157+O157+Q157</f>
        <v>5</v>
      </c>
      <c r="T157" s="18">
        <f t="shared" si="111"/>
        <v>0</v>
      </c>
      <c r="U157" s="27">
        <f t="shared" ref="U157:U160" si="112">S157/12</f>
        <v>0.41666666666666669</v>
      </c>
      <c r="V157" s="27">
        <f t="shared" si="12"/>
        <v>0</v>
      </c>
      <c r="W157" s="11"/>
      <c r="X157" s="11"/>
      <c r="Y157" s="11"/>
      <c r="Z157" s="11"/>
      <c r="AA157" s="20" t="s">
        <v>148</v>
      </c>
      <c r="AB157" s="88"/>
      <c r="AC157" s="22"/>
      <c r="AD157" s="44"/>
      <c r="AE157" s="88"/>
    </row>
    <row r="158" spans="1:31" ht="37.5" hidden="1">
      <c r="A158" s="56"/>
      <c r="B158" s="48"/>
      <c r="C158" s="59" t="s">
        <v>326</v>
      </c>
      <c r="D158" s="59" t="s">
        <v>308</v>
      </c>
      <c r="E158" s="20"/>
      <c r="F158" s="51"/>
      <c r="G158" s="59"/>
      <c r="H158" s="59"/>
      <c r="I158" s="20" t="s">
        <v>312</v>
      </c>
      <c r="J158" s="51">
        <v>106340000</v>
      </c>
      <c r="K158" s="61">
        <v>3</v>
      </c>
      <c r="L158" s="41">
        <v>0</v>
      </c>
      <c r="M158" s="20">
        <v>2</v>
      </c>
      <c r="N158" s="82">
        <v>11397305</v>
      </c>
      <c r="O158" s="86"/>
      <c r="P158" s="86"/>
      <c r="Q158" s="20"/>
      <c r="R158" s="80"/>
      <c r="S158" s="87">
        <f t="shared" ref="S158:T158" si="113">K158+M158+O158+Q158</f>
        <v>5</v>
      </c>
      <c r="T158" s="18">
        <f t="shared" si="113"/>
        <v>11397305</v>
      </c>
      <c r="U158" s="27">
        <f t="shared" si="112"/>
        <v>0.41666666666666669</v>
      </c>
      <c r="V158" s="27">
        <f t="shared" si="12"/>
        <v>0.10717796689862705</v>
      </c>
      <c r="W158" s="11"/>
      <c r="X158" s="11"/>
      <c r="Y158" s="11"/>
      <c r="Z158" s="11"/>
      <c r="AA158" s="20" t="s">
        <v>151</v>
      </c>
      <c r="AB158" s="88"/>
      <c r="AC158" s="22"/>
      <c r="AD158" s="44"/>
      <c r="AE158" s="88"/>
    </row>
    <row r="159" spans="1:31" ht="37.5" hidden="1">
      <c r="A159" s="56"/>
      <c r="B159" s="48"/>
      <c r="C159" s="59" t="s">
        <v>327</v>
      </c>
      <c r="D159" s="59" t="s">
        <v>308</v>
      </c>
      <c r="E159" s="20"/>
      <c r="F159" s="51"/>
      <c r="G159" s="59"/>
      <c r="H159" s="59"/>
      <c r="I159" s="20" t="s">
        <v>312</v>
      </c>
      <c r="J159" s="51">
        <v>153454800</v>
      </c>
      <c r="K159" s="61">
        <v>3</v>
      </c>
      <c r="L159" s="41">
        <v>0</v>
      </c>
      <c r="M159" s="20">
        <v>2</v>
      </c>
      <c r="N159" s="82">
        <v>3217500</v>
      </c>
      <c r="O159" s="86"/>
      <c r="P159" s="86"/>
      <c r="Q159" s="20"/>
      <c r="R159" s="80"/>
      <c r="S159" s="87">
        <f t="shared" ref="S159:T159" si="114">K159+M159+O159+Q159</f>
        <v>5</v>
      </c>
      <c r="T159" s="18">
        <f t="shared" si="114"/>
        <v>3217500</v>
      </c>
      <c r="U159" s="27">
        <f t="shared" si="112"/>
        <v>0.41666666666666669</v>
      </c>
      <c r="V159" s="27">
        <f t="shared" si="12"/>
        <v>2.0967086073553905E-2</v>
      </c>
      <c r="W159" s="11"/>
      <c r="X159" s="11"/>
      <c r="Y159" s="11"/>
      <c r="Z159" s="11"/>
      <c r="AA159" s="20" t="s">
        <v>154</v>
      </c>
      <c r="AB159" s="88"/>
      <c r="AC159" s="22"/>
      <c r="AD159" s="44"/>
      <c r="AE159" s="88"/>
    </row>
    <row r="160" spans="1:31" ht="37.5" hidden="1">
      <c r="A160" s="56"/>
      <c r="B160" s="48"/>
      <c r="C160" s="59" t="s">
        <v>328</v>
      </c>
      <c r="D160" s="59" t="s">
        <v>308</v>
      </c>
      <c r="E160" s="20"/>
      <c r="F160" s="51"/>
      <c r="G160" s="59"/>
      <c r="H160" s="59"/>
      <c r="I160" s="20" t="s">
        <v>312</v>
      </c>
      <c r="J160" s="51">
        <v>107618000</v>
      </c>
      <c r="K160" s="61">
        <v>3</v>
      </c>
      <c r="L160" s="41">
        <v>0</v>
      </c>
      <c r="M160" s="20">
        <v>2</v>
      </c>
      <c r="N160" s="82">
        <v>4257860</v>
      </c>
      <c r="O160" s="86"/>
      <c r="P160" s="86"/>
      <c r="Q160" s="20"/>
      <c r="R160" s="80"/>
      <c r="S160" s="87">
        <f t="shared" ref="S160:T160" si="115">K160+M160+O160+Q160</f>
        <v>5</v>
      </c>
      <c r="T160" s="18">
        <f t="shared" si="115"/>
        <v>4257860</v>
      </c>
      <c r="U160" s="27">
        <f t="shared" si="112"/>
        <v>0.41666666666666669</v>
      </c>
      <c r="V160" s="27">
        <f t="shared" si="12"/>
        <v>3.9564570982549389E-2</v>
      </c>
      <c r="W160" s="11"/>
      <c r="X160" s="11"/>
      <c r="Y160" s="11"/>
      <c r="Z160" s="11"/>
      <c r="AA160" s="20" t="s">
        <v>157</v>
      </c>
      <c r="AB160" s="88"/>
      <c r="AC160" s="22"/>
      <c r="AD160" s="44"/>
      <c r="AE160" s="88"/>
    </row>
    <row r="161" spans="1:31" ht="50" hidden="1">
      <c r="A161" s="56"/>
      <c r="B161" s="48"/>
      <c r="C161" s="59" t="s">
        <v>329</v>
      </c>
      <c r="D161" s="59" t="s">
        <v>330</v>
      </c>
      <c r="E161" s="20" t="s">
        <v>331</v>
      </c>
      <c r="F161" s="51">
        <v>400649150</v>
      </c>
      <c r="G161" s="59"/>
      <c r="H161" s="59"/>
      <c r="I161" s="20" t="s">
        <v>332</v>
      </c>
      <c r="J161" s="51">
        <v>49000000</v>
      </c>
      <c r="K161" s="61">
        <v>1</v>
      </c>
      <c r="L161" s="41">
        <v>6530000</v>
      </c>
      <c r="M161" s="20">
        <v>2</v>
      </c>
      <c r="N161" s="82">
        <f>12380000-L161</f>
        <v>5850000</v>
      </c>
      <c r="O161" s="86"/>
      <c r="P161" s="86">
        <f>20900000-L161-N161</f>
        <v>8520000</v>
      </c>
      <c r="Q161" s="20"/>
      <c r="R161" s="80"/>
      <c r="S161" s="87">
        <f t="shared" ref="S161:T161" si="116">K161+M161+O161+Q161</f>
        <v>3</v>
      </c>
      <c r="T161" s="18">
        <f t="shared" si="116"/>
        <v>20900000</v>
      </c>
      <c r="U161" s="27">
        <f t="shared" ref="U161:U162" si="117">S161/4</f>
        <v>0.75</v>
      </c>
      <c r="V161" s="27">
        <f t="shared" si="12"/>
        <v>0.42653061224489797</v>
      </c>
      <c r="W161" s="11"/>
      <c r="X161" s="11"/>
      <c r="Y161" s="11"/>
      <c r="Z161" s="11"/>
      <c r="AA161" s="20" t="s">
        <v>56</v>
      </c>
      <c r="AB161" s="88"/>
      <c r="AC161" s="22"/>
      <c r="AD161" s="44"/>
      <c r="AE161" s="88"/>
    </row>
    <row r="162" spans="1:31" ht="37.5" hidden="1">
      <c r="A162" s="56"/>
      <c r="B162" s="48"/>
      <c r="C162" s="59" t="s">
        <v>333</v>
      </c>
      <c r="D162" s="59" t="s">
        <v>334</v>
      </c>
      <c r="E162" s="20" t="s">
        <v>331</v>
      </c>
      <c r="F162" s="51">
        <v>339090400</v>
      </c>
      <c r="G162" s="59"/>
      <c r="H162" s="59"/>
      <c r="I162" s="20" t="s">
        <v>332</v>
      </c>
      <c r="J162" s="51">
        <v>607760200</v>
      </c>
      <c r="K162" s="61">
        <v>1</v>
      </c>
      <c r="L162" s="41">
        <v>18550000</v>
      </c>
      <c r="M162" s="20">
        <v>2</v>
      </c>
      <c r="N162" s="82">
        <f>25800000-L162</f>
        <v>7250000</v>
      </c>
      <c r="O162" s="86"/>
      <c r="P162" s="86">
        <f>575210000-L162-N162</f>
        <v>549410000</v>
      </c>
      <c r="Q162" s="20"/>
      <c r="R162" s="80"/>
      <c r="S162" s="87">
        <f t="shared" ref="S162:T162" si="118">K162+M162+O162+Q162</f>
        <v>3</v>
      </c>
      <c r="T162" s="18">
        <f t="shared" si="118"/>
        <v>575210000</v>
      </c>
      <c r="U162" s="27">
        <f t="shared" si="117"/>
        <v>0.75</v>
      </c>
      <c r="V162" s="27">
        <f t="shared" si="12"/>
        <v>0.94644236328736231</v>
      </c>
      <c r="W162" s="11"/>
      <c r="X162" s="11"/>
      <c r="Y162" s="11"/>
      <c r="Z162" s="11"/>
      <c r="AA162" s="20" t="s">
        <v>56</v>
      </c>
      <c r="AB162" s="88"/>
      <c r="AC162" s="22"/>
      <c r="AD162" s="44"/>
      <c r="AE162" s="88"/>
    </row>
    <row r="163" spans="1:31" ht="37.5" hidden="1">
      <c r="A163" s="56"/>
      <c r="B163" s="48"/>
      <c r="C163" s="59" t="s">
        <v>335</v>
      </c>
      <c r="D163" s="59" t="s">
        <v>334</v>
      </c>
      <c r="E163" s="20"/>
      <c r="F163" s="51"/>
      <c r="G163" s="59"/>
      <c r="H163" s="59"/>
      <c r="I163" s="20" t="s">
        <v>312</v>
      </c>
      <c r="J163" s="51">
        <v>2800000</v>
      </c>
      <c r="K163" s="61">
        <v>3</v>
      </c>
      <c r="L163" s="41">
        <v>180000</v>
      </c>
      <c r="M163" s="20">
        <v>2</v>
      </c>
      <c r="N163" s="82">
        <v>340000</v>
      </c>
      <c r="O163" s="86"/>
      <c r="P163" s="86"/>
      <c r="Q163" s="20"/>
      <c r="R163" s="80"/>
      <c r="S163" s="87">
        <f t="shared" ref="S163:T163" si="119">K163+M163+O163+Q163</f>
        <v>5</v>
      </c>
      <c r="T163" s="18">
        <f t="shared" si="119"/>
        <v>520000</v>
      </c>
      <c r="U163" s="27">
        <f>S163/12</f>
        <v>0.41666666666666669</v>
      </c>
      <c r="V163" s="27">
        <f t="shared" si="12"/>
        <v>0.18571428571428572</v>
      </c>
      <c r="W163" s="11"/>
      <c r="X163" s="11"/>
      <c r="Y163" s="11"/>
      <c r="Z163" s="11"/>
      <c r="AA163" s="20" t="s">
        <v>112</v>
      </c>
      <c r="AB163" s="88"/>
      <c r="AC163" s="22"/>
      <c r="AD163" s="44"/>
      <c r="AE163" s="88"/>
    </row>
    <row r="164" spans="1:31" ht="37.5" hidden="1">
      <c r="A164" s="56"/>
      <c r="B164" s="48"/>
      <c r="C164" s="59" t="s">
        <v>336</v>
      </c>
      <c r="D164" s="59" t="s">
        <v>334</v>
      </c>
      <c r="E164" s="20"/>
      <c r="F164" s="51"/>
      <c r="G164" s="59"/>
      <c r="H164" s="59"/>
      <c r="I164" s="20" t="s">
        <v>337</v>
      </c>
      <c r="J164" s="51">
        <v>4000000</v>
      </c>
      <c r="K164" s="61">
        <v>1</v>
      </c>
      <c r="L164" s="41">
        <v>0</v>
      </c>
      <c r="M164" s="20">
        <v>0</v>
      </c>
      <c r="N164" s="82">
        <v>409150</v>
      </c>
      <c r="O164" s="86"/>
      <c r="P164" s="86"/>
      <c r="Q164" s="20"/>
      <c r="R164" s="80"/>
      <c r="S164" s="87">
        <f t="shared" ref="S164:T164" si="120">K164+M164+O164+Q164</f>
        <v>1</v>
      </c>
      <c r="T164" s="18">
        <f t="shared" si="120"/>
        <v>409150</v>
      </c>
      <c r="U164" s="27">
        <f>S164/4</f>
        <v>0.25</v>
      </c>
      <c r="V164" s="27">
        <f t="shared" si="12"/>
        <v>0.1022875</v>
      </c>
      <c r="W164" s="11"/>
      <c r="X164" s="11"/>
      <c r="Y164" s="11"/>
      <c r="Z164" s="11"/>
      <c r="AA164" s="20" t="s">
        <v>115</v>
      </c>
      <c r="AB164" s="88"/>
      <c r="AC164" s="22"/>
      <c r="AD164" s="44"/>
      <c r="AE164" s="88"/>
    </row>
    <row r="165" spans="1:31" ht="37.5" hidden="1">
      <c r="A165" s="56"/>
      <c r="B165" s="48"/>
      <c r="C165" s="59" t="s">
        <v>338</v>
      </c>
      <c r="D165" s="59" t="s">
        <v>334</v>
      </c>
      <c r="E165" s="20"/>
      <c r="F165" s="51"/>
      <c r="G165" s="59"/>
      <c r="H165" s="59"/>
      <c r="I165" s="20" t="s">
        <v>339</v>
      </c>
      <c r="J165" s="51">
        <v>9699950</v>
      </c>
      <c r="K165" s="61">
        <v>6</v>
      </c>
      <c r="L165" s="41">
        <v>0</v>
      </c>
      <c r="M165" s="20">
        <v>4</v>
      </c>
      <c r="N165" s="82">
        <v>2716130</v>
      </c>
      <c r="O165" s="86"/>
      <c r="P165" s="86"/>
      <c r="Q165" s="20"/>
      <c r="R165" s="80"/>
      <c r="S165" s="87">
        <f t="shared" ref="S165:T165" si="121">K165+M165+O165+Q165</f>
        <v>10</v>
      </c>
      <c r="T165" s="18">
        <f t="shared" si="121"/>
        <v>2716130</v>
      </c>
      <c r="U165" s="27">
        <f>S165/24</f>
        <v>0.41666666666666669</v>
      </c>
      <c r="V165" s="27">
        <f t="shared" si="12"/>
        <v>0.28001484543734761</v>
      </c>
      <c r="W165" s="11"/>
      <c r="X165" s="11"/>
      <c r="Y165" s="11"/>
      <c r="Z165" s="11"/>
      <c r="AA165" s="20" t="s">
        <v>118</v>
      </c>
      <c r="AB165" s="88"/>
      <c r="AC165" s="22"/>
      <c r="AD165" s="44"/>
      <c r="AE165" s="88"/>
    </row>
    <row r="166" spans="1:31" ht="37.5" hidden="1">
      <c r="A166" s="56"/>
      <c r="B166" s="48"/>
      <c r="C166" s="59" t="s">
        <v>340</v>
      </c>
      <c r="D166" s="59" t="s">
        <v>334</v>
      </c>
      <c r="E166" s="20"/>
      <c r="F166" s="51"/>
      <c r="G166" s="59"/>
      <c r="H166" s="59"/>
      <c r="I166" s="20" t="s">
        <v>312</v>
      </c>
      <c r="J166" s="51">
        <v>36000000</v>
      </c>
      <c r="K166" s="61">
        <v>3</v>
      </c>
      <c r="L166" s="41">
        <v>0</v>
      </c>
      <c r="M166" s="20">
        <v>2</v>
      </c>
      <c r="N166" s="82">
        <v>0</v>
      </c>
      <c r="O166" s="86"/>
      <c r="P166" s="86"/>
      <c r="Q166" s="20"/>
      <c r="R166" s="80"/>
      <c r="S166" s="87">
        <f t="shared" ref="S166:T166" si="122">K166+M166+O166+Q166</f>
        <v>5</v>
      </c>
      <c r="T166" s="18">
        <f t="shared" si="122"/>
        <v>0</v>
      </c>
      <c r="U166" s="27">
        <f t="shared" ref="U166:U167" si="123">S166/12</f>
        <v>0.41666666666666669</v>
      </c>
      <c r="V166" s="27">
        <f t="shared" si="12"/>
        <v>0</v>
      </c>
      <c r="W166" s="11"/>
      <c r="X166" s="11"/>
      <c r="Y166" s="11"/>
      <c r="Z166" s="11"/>
      <c r="AA166" s="20" t="s">
        <v>121</v>
      </c>
      <c r="AB166" s="88"/>
      <c r="AC166" s="22"/>
      <c r="AD166" s="44"/>
      <c r="AE166" s="88"/>
    </row>
    <row r="167" spans="1:31" ht="37.5" hidden="1">
      <c r="A167" s="56"/>
      <c r="B167" s="48"/>
      <c r="C167" s="59" t="s">
        <v>341</v>
      </c>
      <c r="D167" s="59" t="s">
        <v>334</v>
      </c>
      <c r="E167" s="20"/>
      <c r="F167" s="51"/>
      <c r="G167" s="59"/>
      <c r="H167" s="59"/>
      <c r="I167" s="20" t="s">
        <v>342</v>
      </c>
      <c r="J167" s="51">
        <v>4200000</v>
      </c>
      <c r="K167" s="61">
        <v>3</v>
      </c>
      <c r="L167" s="41">
        <v>0</v>
      </c>
      <c r="M167" s="20">
        <v>3</v>
      </c>
      <c r="N167" s="82">
        <v>518000</v>
      </c>
      <c r="O167" s="86"/>
      <c r="P167" s="86"/>
      <c r="Q167" s="20"/>
      <c r="R167" s="80"/>
      <c r="S167" s="87">
        <f t="shared" ref="S167:T167" si="124">K167+M167+O167+Q167</f>
        <v>6</v>
      </c>
      <c r="T167" s="18">
        <f t="shared" si="124"/>
        <v>518000</v>
      </c>
      <c r="U167" s="27">
        <f t="shared" si="123"/>
        <v>0.5</v>
      </c>
      <c r="V167" s="27">
        <f t="shared" si="12"/>
        <v>0.12333333333333334</v>
      </c>
      <c r="W167" s="11"/>
      <c r="X167" s="11"/>
      <c r="Y167" s="11"/>
      <c r="Z167" s="11"/>
      <c r="AA167" s="20" t="s">
        <v>124</v>
      </c>
      <c r="AB167" s="88"/>
      <c r="AC167" s="22"/>
      <c r="AD167" s="44"/>
      <c r="AE167" s="88"/>
    </row>
    <row r="168" spans="1:31" ht="50" hidden="1">
      <c r="A168" s="56"/>
      <c r="B168" s="48"/>
      <c r="C168" s="59" t="s">
        <v>343</v>
      </c>
      <c r="D168" s="59" t="s">
        <v>334</v>
      </c>
      <c r="E168" s="20"/>
      <c r="F168" s="51"/>
      <c r="G168" s="59"/>
      <c r="H168" s="59"/>
      <c r="I168" s="20" t="s">
        <v>337</v>
      </c>
      <c r="J168" s="51">
        <v>4000000</v>
      </c>
      <c r="K168" s="61">
        <v>1</v>
      </c>
      <c r="L168" s="41">
        <v>0</v>
      </c>
      <c r="M168" s="20">
        <v>0</v>
      </c>
      <c r="N168" s="82">
        <v>755000</v>
      </c>
      <c r="O168" s="86"/>
      <c r="P168" s="86"/>
      <c r="Q168" s="20"/>
      <c r="R168" s="80"/>
      <c r="S168" s="87">
        <f t="shared" ref="S168:T168" si="125">K168+M168+O168+Q168</f>
        <v>1</v>
      </c>
      <c r="T168" s="18">
        <f t="shared" si="125"/>
        <v>755000</v>
      </c>
      <c r="U168" s="27">
        <f>S168/4</f>
        <v>0.25</v>
      </c>
      <c r="V168" s="27">
        <f t="shared" si="12"/>
        <v>0.18875</v>
      </c>
      <c r="W168" s="11"/>
      <c r="X168" s="11"/>
      <c r="Y168" s="11"/>
      <c r="Z168" s="11"/>
      <c r="AA168" s="20" t="s">
        <v>127</v>
      </c>
      <c r="AB168" s="88"/>
      <c r="AC168" s="22"/>
      <c r="AD168" s="44"/>
      <c r="AE168" s="88"/>
    </row>
    <row r="169" spans="1:31" ht="37.5">
      <c r="A169" s="56"/>
      <c r="B169" s="48"/>
      <c r="C169" s="59" t="s">
        <v>344</v>
      </c>
      <c r="D169" s="59" t="s">
        <v>334</v>
      </c>
      <c r="E169" s="20"/>
      <c r="F169" s="51"/>
      <c r="G169" s="59"/>
      <c r="H169" s="59"/>
      <c r="I169" s="20" t="s">
        <v>312</v>
      </c>
      <c r="J169" s="51">
        <v>2014000</v>
      </c>
      <c r="K169" s="61">
        <v>3</v>
      </c>
      <c r="L169" s="41">
        <v>0</v>
      </c>
      <c r="M169" s="20">
        <v>3</v>
      </c>
      <c r="N169" s="82">
        <v>0</v>
      </c>
      <c r="O169" s="86">
        <v>3</v>
      </c>
      <c r="P169" s="86">
        <v>352700</v>
      </c>
      <c r="Q169" s="20">
        <v>3</v>
      </c>
      <c r="R169" s="80">
        <v>700200</v>
      </c>
      <c r="S169" s="87">
        <f t="shared" ref="S169:T169" si="126">K169+M169+O169+Q169</f>
        <v>12</v>
      </c>
      <c r="T169" s="18">
        <f t="shared" si="126"/>
        <v>1052900</v>
      </c>
      <c r="U169" s="27">
        <f>S169/12</f>
        <v>1</v>
      </c>
      <c r="V169" s="27">
        <f t="shared" si="12"/>
        <v>0.52279046673286989</v>
      </c>
      <c r="W169" s="11"/>
      <c r="X169" s="11"/>
      <c r="Y169" s="11"/>
      <c r="Z169" s="11"/>
      <c r="AA169" s="20" t="s">
        <v>130</v>
      </c>
      <c r="AB169" s="88"/>
      <c r="AC169" s="22"/>
      <c r="AD169" s="44"/>
      <c r="AE169" s="88"/>
    </row>
    <row r="170" spans="1:31" ht="50" hidden="1">
      <c r="A170" s="56"/>
      <c r="B170" s="48"/>
      <c r="C170" s="59" t="s">
        <v>345</v>
      </c>
      <c r="D170" s="59" t="s">
        <v>334</v>
      </c>
      <c r="E170" s="20"/>
      <c r="F170" s="51"/>
      <c r="G170" s="59"/>
      <c r="H170" s="59"/>
      <c r="I170" s="20" t="s">
        <v>337</v>
      </c>
      <c r="J170" s="51">
        <v>13000000</v>
      </c>
      <c r="K170" s="61">
        <v>1</v>
      </c>
      <c r="L170" s="41">
        <v>0</v>
      </c>
      <c r="M170" s="20">
        <v>2</v>
      </c>
      <c r="N170" s="82">
        <v>240000</v>
      </c>
      <c r="O170" s="86"/>
      <c r="P170" s="86"/>
      <c r="Q170" s="20"/>
      <c r="R170" s="80"/>
      <c r="S170" s="87">
        <f t="shared" ref="S170:T170" si="127">K170+M170+O170+Q170</f>
        <v>3</v>
      </c>
      <c r="T170" s="18">
        <f t="shared" si="127"/>
        <v>240000</v>
      </c>
      <c r="U170" s="27">
        <f t="shared" ref="U170:U174" si="128">S170/4</f>
        <v>0.75</v>
      </c>
      <c r="V170" s="27">
        <f t="shared" si="12"/>
        <v>1.8461538461538463E-2</v>
      </c>
      <c r="W170" s="11"/>
      <c r="X170" s="11"/>
      <c r="Y170" s="11"/>
      <c r="Z170" s="11"/>
      <c r="AA170" s="20" t="s">
        <v>133</v>
      </c>
      <c r="AB170" s="88"/>
      <c r="AC170" s="22"/>
      <c r="AD170" s="44"/>
      <c r="AE170" s="88"/>
    </row>
    <row r="171" spans="1:31" ht="37.5" hidden="1">
      <c r="A171" s="56"/>
      <c r="B171" s="48"/>
      <c r="C171" s="59" t="s">
        <v>346</v>
      </c>
      <c r="D171" s="59" t="s">
        <v>334</v>
      </c>
      <c r="E171" s="20"/>
      <c r="F171" s="51"/>
      <c r="G171" s="59"/>
      <c r="H171" s="59"/>
      <c r="I171" s="20" t="s">
        <v>332</v>
      </c>
      <c r="J171" s="51">
        <v>3200000</v>
      </c>
      <c r="K171" s="61">
        <v>1</v>
      </c>
      <c r="L171" s="41">
        <v>0</v>
      </c>
      <c r="M171" s="20">
        <v>0</v>
      </c>
      <c r="N171" s="82">
        <v>145073</v>
      </c>
      <c r="O171" s="86"/>
      <c r="P171" s="86"/>
      <c r="Q171" s="20"/>
      <c r="R171" s="80"/>
      <c r="S171" s="87">
        <f t="shared" ref="S171:T171" si="129">K171+M171+O171+Q171</f>
        <v>1</v>
      </c>
      <c r="T171" s="18">
        <f t="shared" si="129"/>
        <v>145073</v>
      </c>
      <c r="U171" s="27">
        <f t="shared" si="128"/>
        <v>0.25</v>
      </c>
      <c r="V171" s="27">
        <f t="shared" si="12"/>
        <v>4.5335312500000002E-2</v>
      </c>
      <c r="W171" s="11"/>
      <c r="X171" s="11"/>
      <c r="Y171" s="11"/>
      <c r="Z171" s="11"/>
      <c r="AA171" s="20" t="s">
        <v>139</v>
      </c>
      <c r="AB171" s="88"/>
      <c r="AC171" s="22"/>
      <c r="AD171" s="44"/>
      <c r="AE171" s="88"/>
    </row>
    <row r="172" spans="1:31" ht="37.5" hidden="1">
      <c r="A172" s="56"/>
      <c r="B172" s="48"/>
      <c r="C172" s="59" t="s">
        <v>347</v>
      </c>
      <c r="D172" s="59" t="s">
        <v>334</v>
      </c>
      <c r="E172" s="20"/>
      <c r="F172" s="51"/>
      <c r="G172" s="59"/>
      <c r="H172" s="59"/>
      <c r="I172" s="20" t="s">
        <v>337</v>
      </c>
      <c r="J172" s="51">
        <v>38200000</v>
      </c>
      <c r="K172" s="61">
        <v>1</v>
      </c>
      <c r="L172" s="41">
        <v>0</v>
      </c>
      <c r="M172" s="20">
        <v>0</v>
      </c>
      <c r="N172" s="82">
        <v>0</v>
      </c>
      <c r="O172" s="86"/>
      <c r="P172" s="86"/>
      <c r="Q172" s="20"/>
      <c r="R172" s="80"/>
      <c r="S172" s="87">
        <f t="shared" ref="S172:T172" si="130">K172+M172+O172+Q172</f>
        <v>1</v>
      </c>
      <c r="T172" s="18">
        <f t="shared" si="130"/>
        <v>0</v>
      </c>
      <c r="U172" s="27">
        <f t="shared" si="128"/>
        <v>0.25</v>
      </c>
      <c r="V172" s="27">
        <f t="shared" si="12"/>
        <v>0</v>
      </c>
      <c r="W172" s="11"/>
      <c r="X172" s="11"/>
      <c r="Y172" s="11"/>
      <c r="Z172" s="11"/>
      <c r="AA172" s="20" t="s">
        <v>142</v>
      </c>
      <c r="AB172" s="88"/>
      <c r="AC172" s="22"/>
      <c r="AD172" s="44"/>
      <c r="AE172" s="88"/>
    </row>
    <row r="173" spans="1:31" ht="37.5" hidden="1">
      <c r="A173" s="56"/>
      <c r="B173" s="48"/>
      <c r="C173" s="59" t="s">
        <v>348</v>
      </c>
      <c r="D173" s="59" t="s">
        <v>334</v>
      </c>
      <c r="E173" s="20"/>
      <c r="F173" s="51"/>
      <c r="G173" s="59"/>
      <c r="H173" s="59"/>
      <c r="I173" s="20" t="s">
        <v>337</v>
      </c>
      <c r="J173" s="51">
        <v>3500000</v>
      </c>
      <c r="K173" s="61">
        <v>1</v>
      </c>
      <c r="L173" s="41">
        <v>0</v>
      </c>
      <c r="M173" s="20">
        <v>1</v>
      </c>
      <c r="N173" s="82">
        <v>0</v>
      </c>
      <c r="O173" s="86"/>
      <c r="P173" s="86"/>
      <c r="Q173" s="20"/>
      <c r="R173" s="80"/>
      <c r="S173" s="87">
        <f t="shared" ref="S173:T173" si="131">K173+M173+O173+Q173</f>
        <v>2</v>
      </c>
      <c r="T173" s="18">
        <f t="shared" si="131"/>
        <v>0</v>
      </c>
      <c r="U173" s="27">
        <f t="shared" si="128"/>
        <v>0.5</v>
      </c>
      <c r="V173" s="27">
        <f t="shared" si="12"/>
        <v>0</v>
      </c>
      <c r="W173" s="11"/>
      <c r="X173" s="11"/>
      <c r="Y173" s="11"/>
      <c r="Z173" s="11"/>
      <c r="AA173" s="20" t="s">
        <v>145</v>
      </c>
      <c r="AB173" s="88"/>
      <c r="AC173" s="22"/>
      <c r="AD173" s="44"/>
      <c r="AE173" s="88"/>
    </row>
    <row r="174" spans="1:31" ht="37.5" hidden="1">
      <c r="A174" s="56"/>
      <c r="B174" s="48"/>
      <c r="C174" s="59" t="s">
        <v>349</v>
      </c>
      <c r="D174" s="59" t="s">
        <v>334</v>
      </c>
      <c r="E174" s="20"/>
      <c r="F174" s="51"/>
      <c r="G174" s="59"/>
      <c r="H174" s="59"/>
      <c r="I174" s="20" t="s">
        <v>337</v>
      </c>
      <c r="J174" s="51">
        <v>7000000</v>
      </c>
      <c r="K174" s="61">
        <v>1</v>
      </c>
      <c r="L174" s="41">
        <v>0</v>
      </c>
      <c r="M174" s="20">
        <v>0</v>
      </c>
      <c r="N174" s="82">
        <v>900000</v>
      </c>
      <c r="O174" s="86"/>
      <c r="P174" s="86"/>
      <c r="Q174" s="20"/>
      <c r="R174" s="80"/>
      <c r="S174" s="87">
        <f t="shared" ref="S174:T174" si="132">K174+M174+O174+Q174</f>
        <v>1</v>
      </c>
      <c r="T174" s="18">
        <f t="shared" si="132"/>
        <v>900000</v>
      </c>
      <c r="U174" s="27">
        <f t="shared" si="128"/>
        <v>0.25</v>
      </c>
      <c r="V174" s="27">
        <f t="shared" si="12"/>
        <v>0.12857142857142856</v>
      </c>
      <c r="W174" s="11"/>
      <c r="X174" s="11"/>
      <c r="Y174" s="11"/>
      <c r="Z174" s="11"/>
      <c r="AA174" s="20" t="s">
        <v>148</v>
      </c>
      <c r="AB174" s="88"/>
      <c r="AC174" s="22"/>
      <c r="AD174" s="44"/>
      <c r="AE174" s="88"/>
    </row>
    <row r="175" spans="1:31" ht="37.5" hidden="1">
      <c r="A175" s="56"/>
      <c r="B175" s="48"/>
      <c r="C175" s="59" t="s">
        <v>350</v>
      </c>
      <c r="D175" s="59" t="s">
        <v>334</v>
      </c>
      <c r="E175" s="20"/>
      <c r="F175" s="51"/>
      <c r="G175" s="59"/>
      <c r="H175" s="59"/>
      <c r="I175" s="20" t="s">
        <v>312</v>
      </c>
      <c r="J175" s="51">
        <v>672500</v>
      </c>
      <c r="K175" s="61">
        <v>3</v>
      </c>
      <c r="L175" s="41">
        <v>0</v>
      </c>
      <c r="M175" s="20">
        <v>2</v>
      </c>
      <c r="N175" s="82">
        <v>0</v>
      </c>
      <c r="O175" s="86"/>
      <c r="P175" s="86"/>
      <c r="Q175" s="20"/>
      <c r="R175" s="80"/>
      <c r="S175" s="87">
        <f t="shared" ref="S175:T175" si="133">K175+M175+O175+Q175</f>
        <v>5</v>
      </c>
      <c r="T175" s="18">
        <f t="shared" si="133"/>
        <v>0</v>
      </c>
      <c r="U175" s="27">
        <f>S175/12</f>
        <v>0.41666666666666669</v>
      </c>
      <c r="V175" s="27">
        <f t="shared" si="12"/>
        <v>0</v>
      </c>
      <c r="W175" s="11"/>
      <c r="X175" s="11"/>
      <c r="Y175" s="11"/>
      <c r="Z175" s="11"/>
      <c r="AA175" s="20" t="s">
        <v>151</v>
      </c>
      <c r="AB175" s="88"/>
      <c r="AC175" s="22"/>
      <c r="AD175" s="44"/>
      <c r="AE175" s="88"/>
    </row>
    <row r="176" spans="1:31" ht="37.5" hidden="1">
      <c r="A176" s="56"/>
      <c r="B176" s="48"/>
      <c r="C176" s="59" t="s">
        <v>351</v>
      </c>
      <c r="D176" s="59" t="s">
        <v>334</v>
      </c>
      <c r="E176" s="20"/>
      <c r="F176" s="51"/>
      <c r="G176" s="59"/>
      <c r="H176" s="59"/>
      <c r="I176" s="20" t="s">
        <v>337</v>
      </c>
      <c r="J176" s="51">
        <v>8000000</v>
      </c>
      <c r="K176" s="61">
        <v>1</v>
      </c>
      <c r="L176" s="41">
        <v>0</v>
      </c>
      <c r="M176" s="20">
        <v>0</v>
      </c>
      <c r="N176" s="82">
        <v>168600</v>
      </c>
      <c r="O176" s="86"/>
      <c r="P176" s="86"/>
      <c r="Q176" s="20"/>
      <c r="R176" s="80"/>
      <c r="S176" s="87">
        <f t="shared" ref="S176:T176" si="134">K176+M176+O176+Q176</f>
        <v>1</v>
      </c>
      <c r="T176" s="18">
        <f t="shared" si="134"/>
        <v>168600</v>
      </c>
      <c r="U176" s="27">
        <f>S176/4</f>
        <v>0.25</v>
      </c>
      <c r="V176" s="27">
        <f t="shared" si="12"/>
        <v>2.1075E-2</v>
      </c>
      <c r="W176" s="11"/>
      <c r="X176" s="11"/>
      <c r="Y176" s="11"/>
      <c r="Z176" s="11"/>
      <c r="AA176" s="20" t="s">
        <v>154</v>
      </c>
      <c r="AB176" s="88"/>
      <c r="AC176" s="22"/>
      <c r="AD176" s="44"/>
      <c r="AE176" s="88"/>
    </row>
    <row r="177" spans="1:31" ht="37.5" hidden="1">
      <c r="A177" s="56"/>
      <c r="B177" s="48"/>
      <c r="C177" s="59" t="s">
        <v>352</v>
      </c>
      <c r="D177" s="59" t="s">
        <v>334</v>
      </c>
      <c r="E177" s="20"/>
      <c r="F177" s="51"/>
      <c r="G177" s="59"/>
      <c r="H177" s="59"/>
      <c r="I177" s="20" t="s">
        <v>312</v>
      </c>
      <c r="J177" s="51">
        <v>4000000</v>
      </c>
      <c r="K177" s="61">
        <v>3</v>
      </c>
      <c r="L177" s="41">
        <v>0</v>
      </c>
      <c r="M177" s="20">
        <v>2</v>
      </c>
      <c r="N177" s="82">
        <v>103600</v>
      </c>
      <c r="O177" s="86"/>
      <c r="P177" s="86"/>
      <c r="Q177" s="20"/>
      <c r="R177" s="80"/>
      <c r="S177" s="87">
        <f t="shared" ref="S177:T177" si="135">K177+M177+O177+Q177</f>
        <v>5</v>
      </c>
      <c r="T177" s="18">
        <f t="shared" si="135"/>
        <v>103600</v>
      </c>
      <c r="U177" s="27">
        <f>S177/12</f>
        <v>0.41666666666666669</v>
      </c>
      <c r="V177" s="27">
        <f t="shared" si="12"/>
        <v>2.5899999999999999E-2</v>
      </c>
      <c r="W177" s="11"/>
      <c r="X177" s="11"/>
      <c r="Y177" s="11"/>
      <c r="Z177" s="11"/>
      <c r="AA177" s="20" t="s">
        <v>157</v>
      </c>
      <c r="AB177" s="88"/>
      <c r="AC177" s="22"/>
      <c r="AD177" s="44"/>
      <c r="AE177" s="88"/>
    </row>
    <row r="178" spans="1:31" ht="37.5" hidden="1">
      <c r="A178" s="56"/>
      <c r="B178" s="48"/>
      <c r="C178" s="59" t="s">
        <v>353</v>
      </c>
      <c r="D178" s="59" t="s">
        <v>354</v>
      </c>
      <c r="E178" s="20" t="s">
        <v>355</v>
      </c>
      <c r="F178" s="51">
        <v>1300000000</v>
      </c>
      <c r="G178" s="59"/>
      <c r="H178" s="59"/>
      <c r="I178" s="20" t="s">
        <v>310</v>
      </c>
      <c r="J178" s="51">
        <v>249904400</v>
      </c>
      <c r="K178" s="61">
        <v>0</v>
      </c>
      <c r="L178" s="41">
        <v>0</v>
      </c>
      <c r="M178" s="20">
        <v>0</v>
      </c>
      <c r="N178" s="82">
        <v>0</v>
      </c>
      <c r="O178" s="86"/>
      <c r="P178" s="86">
        <f>157737500-L178-N178</f>
        <v>157737500</v>
      </c>
      <c r="Q178" s="20"/>
      <c r="R178" s="80"/>
      <c r="S178" s="87">
        <f t="shared" ref="S178:T178" si="136">K178+M178+O178+Q178</f>
        <v>0</v>
      </c>
      <c r="T178" s="18">
        <f t="shared" si="136"/>
        <v>157737500</v>
      </c>
      <c r="U178" s="27">
        <v>0</v>
      </c>
      <c r="V178" s="27">
        <f t="shared" si="12"/>
        <v>0.63119136757896221</v>
      </c>
      <c r="W178" s="11"/>
      <c r="X178" s="11"/>
      <c r="Y178" s="11"/>
      <c r="Z178" s="11"/>
      <c r="AA178" s="20" t="s">
        <v>56</v>
      </c>
      <c r="AB178" s="88"/>
      <c r="AC178" s="22"/>
      <c r="AD178" s="44"/>
      <c r="AE178" s="88"/>
    </row>
    <row r="179" spans="1:31" ht="62.5" hidden="1">
      <c r="A179" s="56"/>
      <c r="B179" s="48"/>
      <c r="C179" s="59" t="s">
        <v>356</v>
      </c>
      <c r="D179" s="59" t="s">
        <v>357</v>
      </c>
      <c r="E179" s="20" t="s">
        <v>358</v>
      </c>
      <c r="F179" s="51">
        <v>60000000</v>
      </c>
      <c r="G179" s="59"/>
      <c r="H179" s="59"/>
      <c r="I179" s="20" t="s">
        <v>355</v>
      </c>
      <c r="J179" s="51">
        <v>50000000</v>
      </c>
      <c r="K179" s="61">
        <v>2</v>
      </c>
      <c r="L179" s="41">
        <v>1800000</v>
      </c>
      <c r="M179" s="20">
        <v>0</v>
      </c>
      <c r="N179" s="82">
        <f>5448000-L179</f>
        <v>3648000</v>
      </c>
      <c r="O179" s="86"/>
      <c r="P179" s="86">
        <f>14723000-L179-N179</f>
        <v>9275000</v>
      </c>
      <c r="Q179" s="20"/>
      <c r="R179" s="80"/>
      <c r="S179" s="87">
        <f t="shared" ref="S179:T179" si="137">K179+M179+O179+Q179</f>
        <v>2</v>
      </c>
      <c r="T179" s="18">
        <f t="shared" si="137"/>
        <v>14723000</v>
      </c>
      <c r="U179" s="27">
        <f t="shared" ref="U179:U180" si="138">S179/2</f>
        <v>1</v>
      </c>
      <c r="V179" s="27">
        <f t="shared" si="12"/>
        <v>0.29446</v>
      </c>
      <c r="W179" s="11"/>
      <c r="X179" s="11"/>
      <c r="Y179" s="11"/>
      <c r="Z179" s="11"/>
      <c r="AA179" s="20" t="s">
        <v>56</v>
      </c>
      <c r="AB179" s="88"/>
      <c r="AC179" s="22"/>
      <c r="AD179" s="44"/>
      <c r="AE179" s="88"/>
    </row>
    <row r="180" spans="1:31" ht="37.5" hidden="1">
      <c r="A180" s="56"/>
      <c r="B180" s="48"/>
      <c r="C180" s="59" t="s">
        <v>359</v>
      </c>
      <c r="D180" s="59" t="s">
        <v>360</v>
      </c>
      <c r="E180" s="20"/>
      <c r="F180" s="51"/>
      <c r="G180" s="59"/>
      <c r="H180" s="59"/>
      <c r="I180" s="20" t="s">
        <v>361</v>
      </c>
      <c r="J180" s="51">
        <v>55770000</v>
      </c>
      <c r="K180" s="61">
        <v>0</v>
      </c>
      <c r="L180" s="41">
        <v>0</v>
      </c>
      <c r="M180" s="20">
        <v>0</v>
      </c>
      <c r="N180" s="82">
        <v>0</v>
      </c>
      <c r="O180" s="86"/>
      <c r="P180" s="86">
        <f>9418500-L180-N180</f>
        <v>9418500</v>
      </c>
      <c r="Q180" s="20"/>
      <c r="R180" s="80"/>
      <c r="S180" s="87">
        <f t="shared" ref="S180:T180" si="139">K180+M180+O180+Q180</f>
        <v>0</v>
      </c>
      <c r="T180" s="18">
        <f t="shared" si="139"/>
        <v>9418500</v>
      </c>
      <c r="U180" s="27">
        <f t="shared" si="138"/>
        <v>0</v>
      </c>
      <c r="V180" s="27">
        <f t="shared" si="12"/>
        <v>0.16888111888111887</v>
      </c>
      <c r="W180" s="11"/>
      <c r="X180" s="11"/>
      <c r="Y180" s="11"/>
      <c r="Z180" s="11"/>
      <c r="AA180" s="20" t="s">
        <v>56</v>
      </c>
      <c r="AB180" s="88"/>
      <c r="AC180" s="22"/>
      <c r="AD180" s="44"/>
      <c r="AE180" s="88"/>
    </row>
    <row r="181" spans="1:31" ht="37.5" hidden="1">
      <c r="A181" s="56"/>
      <c r="B181" s="48"/>
      <c r="C181" s="59" t="s">
        <v>362</v>
      </c>
      <c r="D181" s="59" t="s">
        <v>360</v>
      </c>
      <c r="E181" s="20"/>
      <c r="F181" s="51"/>
      <c r="G181" s="59"/>
      <c r="H181" s="59"/>
      <c r="I181" s="20" t="s">
        <v>312</v>
      </c>
      <c r="J181" s="51">
        <v>115440000</v>
      </c>
      <c r="K181" s="61">
        <v>3</v>
      </c>
      <c r="L181" s="41">
        <v>4394000</v>
      </c>
      <c r="M181" s="20">
        <v>2</v>
      </c>
      <c r="N181" s="82">
        <v>18090000</v>
      </c>
      <c r="O181" s="86"/>
      <c r="P181" s="86"/>
      <c r="Q181" s="20"/>
      <c r="R181" s="80"/>
      <c r="S181" s="87">
        <f t="shared" ref="S181:T181" si="140">K181+M181+O181+Q181</f>
        <v>5</v>
      </c>
      <c r="T181" s="18">
        <f t="shared" si="140"/>
        <v>22484000</v>
      </c>
      <c r="U181" s="27">
        <f t="shared" ref="U181:U182" si="141">S181/12</f>
        <v>0.41666666666666669</v>
      </c>
      <c r="V181" s="27">
        <f t="shared" si="12"/>
        <v>0.19476784476784476</v>
      </c>
      <c r="W181" s="11"/>
      <c r="X181" s="11"/>
      <c r="Y181" s="11"/>
      <c r="Z181" s="11"/>
      <c r="AA181" s="20" t="s">
        <v>112</v>
      </c>
      <c r="AB181" s="88"/>
      <c r="AC181" s="22"/>
      <c r="AD181" s="44"/>
      <c r="AE181" s="88"/>
    </row>
    <row r="182" spans="1:31" ht="37.5" hidden="1">
      <c r="A182" s="56"/>
      <c r="B182" s="48"/>
      <c r="C182" s="59" t="s">
        <v>363</v>
      </c>
      <c r="D182" s="59" t="s">
        <v>360</v>
      </c>
      <c r="E182" s="20"/>
      <c r="F182" s="51"/>
      <c r="G182" s="59"/>
      <c r="H182" s="59"/>
      <c r="I182" s="20" t="s">
        <v>312</v>
      </c>
      <c r="J182" s="51">
        <v>14890000</v>
      </c>
      <c r="K182" s="61">
        <v>3</v>
      </c>
      <c r="L182" s="41">
        <v>0</v>
      </c>
      <c r="M182" s="20">
        <v>2</v>
      </c>
      <c r="N182" s="82">
        <v>6273150</v>
      </c>
      <c r="O182" s="86"/>
      <c r="P182" s="86"/>
      <c r="Q182" s="20"/>
      <c r="R182" s="80"/>
      <c r="S182" s="87">
        <f t="shared" ref="S182:T182" si="142">K182+M182+O182+Q182</f>
        <v>5</v>
      </c>
      <c r="T182" s="18">
        <f t="shared" si="142"/>
        <v>6273150</v>
      </c>
      <c r="U182" s="27">
        <f t="shared" si="141"/>
        <v>0.41666666666666669</v>
      </c>
      <c r="V182" s="27">
        <f t="shared" si="12"/>
        <v>0.42129952988582942</v>
      </c>
      <c r="W182" s="11"/>
      <c r="X182" s="11"/>
      <c r="Y182" s="11"/>
      <c r="Z182" s="11"/>
      <c r="AA182" s="20" t="s">
        <v>115</v>
      </c>
      <c r="AB182" s="88"/>
      <c r="AC182" s="22"/>
      <c r="AD182" s="44"/>
      <c r="AE182" s="88"/>
    </row>
    <row r="183" spans="1:31" ht="37.5" hidden="1">
      <c r="A183" s="56"/>
      <c r="B183" s="48"/>
      <c r="C183" s="59" t="s">
        <v>364</v>
      </c>
      <c r="D183" s="59" t="s">
        <v>360</v>
      </c>
      <c r="E183" s="20"/>
      <c r="F183" s="51"/>
      <c r="G183" s="59"/>
      <c r="H183" s="59"/>
      <c r="I183" s="20" t="s">
        <v>365</v>
      </c>
      <c r="J183" s="51">
        <v>62282000</v>
      </c>
      <c r="K183" s="61">
        <v>16</v>
      </c>
      <c r="L183" s="41">
        <v>0</v>
      </c>
      <c r="M183" s="20">
        <v>11</v>
      </c>
      <c r="N183" s="82">
        <v>18729366</v>
      </c>
      <c r="O183" s="86"/>
      <c r="P183" s="86"/>
      <c r="Q183" s="20"/>
      <c r="R183" s="80"/>
      <c r="S183" s="87">
        <f t="shared" ref="S183:T183" si="143">K183+M183+O183+Q183</f>
        <v>27</v>
      </c>
      <c r="T183" s="18">
        <f t="shared" si="143"/>
        <v>18729366</v>
      </c>
      <c r="U183" s="27">
        <f>S183/64</f>
        <v>0.421875</v>
      </c>
      <c r="V183" s="27">
        <f t="shared" si="12"/>
        <v>0.30071876304550271</v>
      </c>
      <c r="W183" s="11"/>
      <c r="X183" s="11"/>
      <c r="Y183" s="11"/>
      <c r="Z183" s="11"/>
      <c r="AA183" s="20" t="s">
        <v>118</v>
      </c>
      <c r="AB183" s="88"/>
      <c r="AC183" s="22"/>
      <c r="AD183" s="44"/>
      <c r="AE183" s="88"/>
    </row>
    <row r="184" spans="1:31" ht="37.5" hidden="1">
      <c r="A184" s="56"/>
      <c r="B184" s="48"/>
      <c r="C184" s="59" t="s">
        <v>366</v>
      </c>
      <c r="D184" s="59" t="s">
        <v>360</v>
      </c>
      <c r="E184" s="20"/>
      <c r="F184" s="51"/>
      <c r="G184" s="59"/>
      <c r="H184" s="59"/>
      <c r="I184" s="20" t="s">
        <v>312</v>
      </c>
      <c r="J184" s="51">
        <v>52568000</v>
      </c>
      <c r="K184" s="61">
        <v>3</v>
      </c>
      <c r="L184" s="41">
        <v>0</v>
      </c>
      <c r="M184" s="20">
        <v>2</v>
      </c>
      <c r="N184" s="82">
        <v>5360000</v>
      </c>
      <c r="O184" s="86"/>
      <c r="P184" s="86"/>
      <c r="Q184" s="20"/>
      <c r="R184" s="80"/>
      <c r="S184" s="87">
        <f t="shared" ref="S184:T184" si="144">K184+M184+O184+Q184</f>
        <v>5</v>
      </c>
      <c r="T184" s="18">
        <f t="shared" si="144"/>
        <v>5360000</v>
      </c>
      <c r="U184" s="27">
        <f t="shared" ref="U184:U196" si="145">S184/12</f>
        <v>0.41666666666666669</v>
      </c>
      <c r="V184" s="27">
        <f t="shared" si="12"/>
        <v>0.10196317151118552</v>
      </c>
      <c r="W184" s="11"/>
      <c r="X184" s="11"/>
      <c r="Y184" s="11"/>
      <c r="Z184" s="11"/>
      <c r="AA184" s="20" t="s">
        <v>121</v>
      </c>
      <c r="AB184" s="88"/>
      <c r="AC184" s="22"/>
      <c r="AD184" s="44"/>
      <c r="AE184" s="88"/>
    </row>
    <row r="185" spans="1:31" ht="37.5" hidden="1">
      <c r="A185" s="56"/>
      <c r="B185" s="48"/>
      <c r="C185" s="59" t="s">
        <v>367</v>
      </c>
      <c r="D185" s="59" t="s">
        <v>360</v>
      </c>
      <c r="E185" s="20"/>
      <c r="F185" s="51"/>
      <c r="G185" s="59"/>
      <c r="H185" s="59"/>
      <c r="I185" s="20" t="s">
        <v>312</v>
      </c>
      <c r="J185" s="51">
        <v>60900000</v>
      </c>
      <c r="K185" s="61">
        <v>3</v>
      </c>
      <c r="L185" s="41">
        <v>0</v>
      </c>
      <c r="M185" s="20">
        <v>3</v>
      </c>
      <c r="N185" s="82">
        <v>16437200</v>
      </c>
      <c r="O185" s="86"/>
      <c r="P185" s="86"/>
      <c r="Q185" s="20"/>
      <c r="R185" s="80"/>
      <c r="S185" s="87">
        <f t="shared" ref="S185:T185" si="146">K185+M185+O185+Q185</f>
        <v>6</v>
      </c>
      <c r="T185" s="18">
        <f t="shared" si="146"/>
        <v>16437200</v>
      </c>
      <c r="U185" s="27">
        <f t="shared" si="145"/>
        <v>0.5</v>
      </c>
      <c r="V185" s="27">
        <f t="shared" si="12"/>
        <v>0.26990476190476193</v>
      </c>
      <c r="W185" s="11"/>
      <c r="X185" s="11"/>
      <c r="Y185" s="11"/>
      <c r="Z185" s="11"/>
      <c r="AA185" s="20" t="s">
        <v>124</v>
      </c>
      <c r="AB185" s="88"/>
      <c r="AC185" s="22"/>
      <c r="AD185" s="44"/>
      <c r="AE185" s="88"/>
    </row>
    <row r="186" spans="1:31" ht="37.5" hidden="1">
      <c r="A186" s="56"/>
      <c r="B186" s="48"/>
      <c r="C186" s="59" t="s">
        <v>368</v>
      </c>
      <c r="D186" s="59" t="s">
        <v>360</v>
      </c>
      <c r="E186" s="20"/>
      <c r="F186" s="51"/>
      <c r="G186" s="59"/>
      <c r="H186" s="59"/>
      <c r="I186" s="20" t="s">
        <v>312</v>
      </c>
      <c r="J186" s="51">
        <v>21446000</v>
      </c>
      <c r="K186" s="61">
        <v>3</v>
      </c>
      <c r="L186" s="41">
        <v>0</v>
      </c>
      <c r="M186" s="20">
        <v>2</v>
      </c>
      <c r="N186" s="82">
        <v>7729000</v>
      </c>
      <c r="O186" s="86"/>
      <c r="P186" s="86"/>
      <c r="Q186" s="20"/>
      <c r="R186" s="80"/>
      <c r="S186" s="87">
        <f t="shared" ref="S186:T186" si="147">K186+M186+O186+Q186</f>
        <v>5</v>
      </c>
      <c r="T186" s="18">
        <f t="shared" si="147"/>
        <v>7729000</v>
      </c>
      <c r="U186" s="27">
        <f t="shared" si="145"/>
        <v>0.41666666666666669</v>
      </c>
      <c r="V186" s="27">
        <f t="shared" si="12"/>
        <v>0.3603935465821132</v>
      </c>
      <c r="W186" s="11"/>
      <c r="X186" s="11"/>
      <c r="Y186" s="11"/>
      <c r="Z186" s="11"/>
      <c r="AA186" s="20" t="s">
        <v>127</v>
      </c>
      <c r="AB186" s="88"/>
      <c r="AC186" s="22"/>
      <c r="AD186" s="44"/>
      <c r="AE186" s="88"/>
    </row>
    <row r="187" spans="1:31" ht="37.5">
      <c r="A187" s="56"/>
      <c r="B187" s="48"/>
      <c r="C187" s="59" t="s">
        <v>369</v>
      </c>
      <c r="D187" s="59" t="s">
        <v>360</v>
      </c>
      <c r="E187" s="20"/>
      <c r="F187" s="51"/>
      <c r="G187" s="59"/>
      <c r="H187" s="59"/>
      <c r="I187" s="20" t="s">
        <v>312</v>
      </c>
      <c r="J187" s="51">
        <v>85095800</v>
      </c>
      <c r="K187" s="61">
        <v>3</v>
      </c>
      <c r="L187" s="41">
        <v>0</v>
      </c>
      <c r="M187" s="20">
        <v>3</v>
      </c>
      <c r="N187" s="82">
        <v>8308000</v>
      </c>
      <c r="O187" s="86">
        <v>3</v>
      </c>
      <c r="P187" s="86">
        <v>16498000</v>
      </c>
      <c r="Q187" s="20">
        <v>3</v>
      </c>
      <c r="R187" s="80">
        <v>53472500</v>
      </c>
      <c r="S187" s="87">
        <f t="shared" ref="S187:T187" si="148">K187+M187+O187+Q187</f>
        <v>12</v>
      </c>
      <c r="T187" s="18">
        <f t="shared" si="148"/>
        <v>78278500</v>
      </c>
      <c r="U187" s="27">
        <f t="shared" si="145"/>
        <v>1</v>
      </c>
      <c r="V187" s="27">
        <f t="shared" si="12"/>
        <v>0.91988676291896898</v>
      </c>
      <c r="W187" s="11"/>
      <c r="X187" s="11"/>
      <c r="Y187" s="11"/>
      <c r="Z187" s="11"/>
      <c r="AA187" s="20" t="s">
        <v>130</v>
      </c>
      <c r="AB187" s="88"/>
      <c r="AC187" s="22"/>
      <c r="AD187" s="44"/>
      <c r="AE187" s="88"/>
    </row>
    <row r="188" spans="1:31" ht="37.5" hidden="1">
      <c r="A188" s="56"/>
      <c r="B188" s="48"/>
      <c r="C188" s="59" t="s">
        <v>370</v>
      </c>
      <c r="D188" s="59" t="s">
        <v>360</v>
      </c>
      <c r="E188" s="20"/>
      <c r="F188" s="51"/>
      <c r="G188" s="59"/>
      <c r="H188" s="59"/>
      <c r="I188" s="20" t="s">
        <v>312</v>
      </c>
      <c r="J188" s="51">
        <v>29240000</v>
      </c>
      <c r="K188" s="61">
        <v>3</v>
      </c>
      <c r="L188" s="41">
        <v>0</v>
      </c>
      <c r="M188" s="20">
        <v>2</v>
      </c>
      <c r="N188" s="82">
        <v>2860000</v>
      </c>
      <c r="O188" s="86"/>
      <c r="P188" s="86"/>
      <c r="Q188" s="20"/>
      <c r="R188" s="80"/>
      <c r="S188" s="87">
        <f t="shared" ref="S188:T188" si="149">K188+M188+O188+Q188</f>
        <v>5</v>
      </c>
      <c r="T188" s="18">
        <f t="shared" si="149"/>
        <v>2860000</v>
      </c>
      <c r="U188" s="27">
        <f t="shared" si="145"/>
        <v>0.41666666666666669</v>
      </c>
      <c r="V188" s="27">
        <f t="shared" si="12"/>
        <v>9.7811217510259924E-2</v>
      </c>
      <c r="W188" s="11"/>
      <c r="X188" s="11"/>
      <c r="Y188" s="11"/>
      <c r="Z188" s="11"/>
      <c r="AA188" s="20" t="s">
        <v>133</v>
      </c>
      <c r="AB188" s="88"/>
      <c r="AC188" s="22"/>
      <c r="AD188" s="44"/>
      <c r="AE188" s="88"/>
    </row>
    <row r="189" spans="1:31" ht="37.5" hidden="1">
      <c r="A189" s="56"/>
      <c r="B189" s="48"/>
      <c r="C189" s="59" t="s">
        <v>371</v>
      </c>
      <c r="D189" s="59" t="s">
        <v>360</v>
      </c>
      <c r="E189" s="20"/>
      <c r="F189" s="51"/>
      <c r="G189" s="59"/>
      <c r="H189" s="59"/>
      <c r="I189" s="20" t="s">
        <v>312</v>
      </c>
      <c r="J189" s="51">
        <v>9080000</v>
      </c>
      <c r="K189" s="61">
        <v>3</v>
      </c>
      <c r="L189" s="41">
        <v>0</v>
      </c>
      <c r="M189" s="20">
        <v>2</v>
      </c>
      <c r="N189" s="82">
        <v>0</v>
      </c>
      <c r="O189" s="86"/>
      <c r="P189" s="86"/>
      <c r="Q189" s="20"/>
      <c r="R189" s="80"/>
      <c r="S189" s="87">
        <f t="shared" ref="S189:T189" si="150">K189+M189+O189+Q189</f>
        <v>5</v>
      </c>
      <c r="T189" s="18">
        <f t="shared" si="150"/>
        <v>0</v>
      </c>
      <c r="U189" s="27">
        <f t="shared" si="145"/>
        <v>0.41666666666666669</v>
      </c>
      <c r="V189" s="27">
        <f t="shared" si="12"/>
        <v>0</v>
      </c>
      <c r="W189" s="11"/>
      <c r="X189" s="11"/>
      <c r="Y189" s="11"/>
      <c r="Z189" s="11"/>
      <c r="AA189" s="20" t="s">
        <v>136</v>
      </c>
      <c r="AB189" s="88"/>
      <c r="AC189" s="22"/>
      <c r="AD189" s="44"/>
      <c r="AE189" s="88"/>
    </row>
    <row r="190" spans="1:31" ht="37.5" hidden="1">
      <c r="A190" s="56"/>
      <c r="B190" s="48"/>
      <c r="C190" s="59" t="s">
        <v>372</v>
      </c>
      <c r="D190" s="59" t="s">
        <v>360</v>
      </c>
      <c r="E190" s="20"/>
      <c r="F190" s="51"/>
      <c r="G190" s="59"/>
      <c r="H190" s="59"/>
      <c r="I190" s="20" t="s">
        <v>312</v>
      </c>
      <c r="J190" s="51">
        <v>27110000</v>
      </c>
      <c r="K190" s="61">
        <v>3</v>
      </c>
      <c r="L190" s="41">
        <v>0</v>
      </c>
      <c r="M190" s="20">
        <v>2</v>
      </c>
      <c r="N190" s="82">
        <v>0</v>
      </c>
      <c r="O190" s="86"/>
      <c r="P190" s="86"/>
      <c r="Q190" s="20"/>
      <c r="R190" s="80"/>
      <c r="S190" s="87">
        <f t="shared" ref="S190:T190" si="151">K190+M190+O190+Q190</f>
        <v>5</v>
      </c>
      <c r="T190" s="18">
        <f t="shared" si="151"/>
        <v>0</v>
      </c>
      <c r="U190" s="27">
        <f t="shared" si="145"/>
        <v>0.41666666666666669</v>
      </c>
      <c r="V190" s="27">
        <f t="shared" si="12"/>
        <v>0</v>
      </c>
      <c r="W190" s="11"/>
      <c r="X190" s="11"/>
      <c r="Y190" s="11"/>
      <c r="Z190" s="11"/>
      <c r="AA190" s="20" t="s">
        <v>139</v>
      </c>
      <c r="AB190" s="88"/>
      <c r="AC190" s="22"/>
      <c r="AD190" s="44"/>
      <c r="AE190" s="88"/>
    </row>
    <row r="191" spans="1:31" ht="37.5" hidden="1">
      <c r="A191" s="56"/>
      <c r="B191" s="48"/>
      <c r="C191" s="59" t="s">
        <v>373</v>
      </c>
      <c r="D191" s="59" t="s">
        <v>360</v>
      </c>
      <c r="E191" s="20"/>
      <c r="F191" s="51"/>
      <c r="G191" s="59"/>
      <c r="H191" s="59"/>
      <c r="I191" s="20" t="s">
        <v>312</v>
      </c>
      <c r="J191" s="51">
        <v>14985000</v>
      </c>
      <c r="K191" s="61">
        <v>3</v>
      </c>
      <c r="L191" s="41">
        <v>0</v>
      </c>
      <c r="M191" s="20">
        <v>2</v>
      </c>
      <c r="N191" s="82">
        <v>1002000</v>
      </c>
      <c r="O191" s="86"/>
      <c r="P191" s="86"/>
      <c r="Q191" s="20"/>
      <c r="R191" s="80"/>
      <c r="S191" s="87">
        <f t="shared" ref="S191:T191" si="152">K191+M191+O191+Q191</f>
        <v>5</v>
      </c>
      <c r="T191" s="18">
        <f t="shared" si="152"/>
        <v>1002000</v>
      </c>
      <c r="U191" s="27">
        <f t="shared" si="145"/>
        <v>0.41666666666666669</v>
      </c>
      <c r="V191" s="27">
        <f t="shared" si="12"/>
        <v>6.6866866866866867E-2</v>
      </c>
      <c r="W191" s="11"/>
      <c r="X191" s="11"/>
      <c r="Y191" s="11"/>
      <c r="Z191" s="11"/>
      <c r="AA191" s="20" t="s">
        <v>142</v>
      </c>
      <c r="AB191" s="88"/>
      <c r="AC191" s="22"/>
      <c r="AD191" s="44"/>
      <c r="AE191" s="88"/>
    </row>
    <row r="192" spans="1:31" ht="37.5" hidden="1">
      <c r="A192" s="56"/>
      <c r="B192" s="48"/>
      <c r="C192" s="59" t="s">
        <v>374</v>
      </c>
      <c r="D192" s="59" t="s">
        <v>360</v>
      </c>
      <c r="E192" s="20"/>
      <c r="F192" s="51"/>
      <c r="G192" s="59"/>
      <c r="H192" s="59"/>
      <c r="I192" s="20" t="s">
        <v>312</v>
      </c>
      <c r="J192" s="51">
        <v>103145000</v>
      </c>
      <c r="K192" s="61">
        <v>3</v>
      </c>
      <c r="L192" s="41">
        <v>0</v>
      </c>
      <c r="M192" s="20">
        <v>2</v>
      </c>
      <c r="N192" s="82">
        <v>15785000</v>
      </c>
      <c r="O192" s="86"/>
      <c r="P192" s="86"/>
      <c r="Q192" s="20"/>
      <c r="R192" s="80"/>
      <c r="S192" s="87">
        <f t="shared" ref="S192:T192" si="153">K192+M192+O192+Q192</f>
        <v>5</v>
      </c>
      <c r="T192" s="18">
        <f t="shared" si="153"/>
        <v>15785000</v>
      </c>
      <c r="U192" s="27">
        <f t="shared" si="145"/>
        <v>0.41666666666666669</v>
      </c>
      <c r="V192" s="27">
        <f t="shared" si="12"/>
        <v>0.15303698676620292</v>
      </c>
      <c r="W192" s="11"/>
      <c r="X192" s="11"/>
      <c r="Y192" s="11"/>
      <c r="Z192" s="11"/>
      <c r="AA192" s="20" t="s">
        <v>145</v>
      </c>
      <c r="AB192" s="88"/>
      <c r="AC192" s="22"/>
      <c r="AD192" s="44"/>
      <c r="AE192" s="88"/>
    </row>
    <row r="193" spans="1:31" ht="37.5" hidden="1">
      <c r="A193" s="56"/>
      <c r="B193" s="48"/>
      <c r="C193" s="59" t="s">
        <v>375</v>
      </c>
      <c r="D193" s="59" t="s">
        <v>360</v>
      </c>
      <c r="E193" s="20"/>
      <c r="F193" s="51"/>
      <c r="G193" s="59"/>
      <c r="H193" s="59"/>
      <c r="I193" s="20" t="s">
        <v>312</v>
      </c>
      <c r="J193" s="51">
        <v>61120000</v>
      </c>
      <c r="K193" s="61">
        <v>3</v>
      </c>
      <c r="L193" s="41">
        <v>0</v>
      </c>
      <c r="M193" s="20">
        <v>2</v>
      </c>
      <c r="N193" s="82">
        <v>8800000</v>
      </c>
      <c r="O193" s="86"/>
      <c r="P193" s="86"/>
      <c r="Q193" s="20"/>
      <c r="R193" s="80"/>
      <c r="S193" s="87">
        <f t="shared" ref="S193:T193" si="154">K193+M193+O193+Q193</f>
        <v>5</v>
      </c>
      <c r="T193" s="18">
        <f t="shared" si="154"/>
        <v>8800000</v>
      </c>
      <c r="U193" s="27">
        <f t="shared" si="145"/>
        <v>0.41666666666666669</v>
      </c>
      <c r="V193" s="27">
        <f t="shared" si="12"/>
        <v>0.14397905759162305</v>
      </c>
      <c r="W193" s="11"/>
      <c r="X193" s="11"/>
      <c r="Y193" s="11"/>
      <c r="Z193" s="11"/>
      <c r="AA193" s="20" t="s">
        <v>148</v>
      </c>
      <c r="AB193" s="88"/>
      <c r="AC193" s="22"/>
      <c r="AD193" s="44"/>
      <c r="AE193" s="88"/>
    </row>
    <row r="194" spans="1:31" ht="37.5" hidden="1">
      <c r="A194" s="56"/>
      <c r="B194" s="48"/>
      <c r="C194" s="59" t="s">
        <v>376</v>
      </c>
      <c r="D194" s="59" t="s">
        <v>360</v>
      </c>
      <c r="E194" s="20"/>
      <c r="F194" s="51"/>
      <c r="G194" s="59"/>
      <c r="H194" s="59"/>
      <c r="I194" s="20" t="s">
        <v>312</v>
      </c>
      <c r="J194" s="51">
        <v>56650000</v>
      </c>
      <c r="K194" s="61">
        <v>3</v>
      </c>
      <c r="L194" s="41">
        <v>0</v>
      </c>
      <c r="M194" s="20">
        <v>2</v>
      </c>
      <c r="N194" s="82">
        <v>0</v>
      </c>
      <c r="O194" s="86"/>
      <c r="P194" s="86"/>
      <c r="Q194" s="20"/>
      <c r="R194" s="80"/>
      <c r="S194" s="87">
        <f t="shared" ref="S194:T194" si="155">K194+M194+O194+Q194</f>
        <v>5</v>
      </c>
      <c r="T194" s="18">
        <f t="shared" si="155"/>
        <v>0</v>
      </c>
      <c r="U194" s="27">
        <f t="shared" si="145"/>
        <v>0.41666666666666669</v>
      </c>
      <c r="V194" s="27">
        <f t="shared" si="12"/>
        <v>0</v>
      </c>
      <c r="W194" s="11"/>
      <c r="X194" s="11"/>
      <c r="Y194" s="11"/>
      <c r="Z194" s="11"/>
      <c r="AA194" s="20" t="s">
        <v>151</v>
      </c>
      <c r="AB194" s="88"/>
      <c r="AC194" s="22"/>
      <c r="AD194" s="44"/>
      <c r="AE194" s="88"/>
    </row>
    <row r="195" spans="1:31" ht="37.5" hidden="1">
      <c r="A195" s="56"/>
      <c r="B195" s="48"/>
      <c r="C195" s="59" t="s">
        <v>377</v>
      </c>
      <c r="D195" s="59" t="s">
        <v>360</v>
      </c>
      <c r="E195" s="20"/>
      <c r="F195" s="51"/>
      <c r="G195" s="59"/>
      <c r="H195" s="59"/>
      <c r="I195" s="20" t="s">
        <v>312</v>
      </c>
      <c r="J195" s="51">
        <v>18810000</v>
      </c>
      <c r="K195" s="61">
        <v>3</v>
      </c>
      <c r="L195" s="41">
        <v>0</v>
      </c>
      <c r="M195" s="20">
        <v>2</v>
      </c>
      <c r="N195" s="82">
        <v>4730000</v>
      </c>
      <c r="O195" s="86"/>
      <c r="P195" s="86"/>
      <c r="Q195" s="20"/>
      <c r="R195" s="80"/>
      <c r="S195" s="87">
        <f t="shared" ref="S195:T195" si="156">K195+M195+O195+Q195</f>
        <v>5</v>
      </c>
      <c r="T195" s="18">
        <f t="shared" si="156"/>
        <v>4730000</v>
      </c>
      <c r="U195" s="27">
        <f t="shared" si="145"/>
        <v>0.41666666666666669</v>
      </c>
      <c r="V195" s="27">
        <f t="shared" si="12"/>
        <v>0.25146198830409355</v>
      </c>
      <c r="W195" s="11"/>
      <c r="X195" s="11"/>
      <c r="Y195" s="11"/>
      <c r="Z195" s="11"/>
      <c r="AA195" s="20" t="s">
        <v>154</v>
      </c>
      <c r="AB195" s="88"/>
      <c r="AC195" s="22"/>
      <c r="AD195" s="44"/>
      <c r="AE195" s="88"/>
    </row>
    <row r="196" spans="1:31" ht="37.5" hidden="1">
      <c r="A196" s="56"/>
      <c r="B196" s="48"/>
      <c r="C196" s="59" t="s">
        <v>378</v>
      </c>
      <c r="D196" s="59" t="s">
        <v>360</v>
      </c>
      <c r="E196" s="20"/>
      <c r="F196" s="51"/>
      <c r="G196" s="59"/>
      <c r="H196" s="59"/>
      <c r="I196" s="20" t="s">
        <v>312</v>
      </c>
      <c r="J196" s="51">
        <v>38510000</v>
      </c>
      <c r="K196" s="61">
        <v>3</v>
      </c>
      <c r="L196" s="41">
        <v>0</v>
      </c>
      <c r="M196" s="20">
        <v>2</v>
      </c>
      <c r="N196" s="82">
        <v>6001988</v>
      </c>
      <c r="O196" s="86"/>
      <c r="P196" s="86"/>
      <c r="Q196" s="20"/>
      <c r="R196" s="80"/>
      <c r="S196" s="87">
        <f t="shared" ref="S196:T196" si="157">K196+M196+O196+Q196</f>
        <v>5</v>
      </c>
      <c r="T196" s="18">
        <f t="shared" si="157"/>
        <v>6001988</v>
      </c>
      <c r="U196" s="27">
        <f t="shared" si="145"/>
        <v>0.41666666666666669</v>
      </c>
      <c r="V196" s="27">
        <f t="shared" si="12"/>
        <v>0.15585531030901065</v>
      </c>
      <c r="W196" s="11"/>
      <c r="X196" s="11"/>
      <c r="Y196" s="11"/>
      <c r="Z196" s="11"/>
      <c r="AA196" s="20" t="s">
        <v>157</v>
      </c>
      <c r="AB196" s="88"/>
      <c r="AC196" s="22"/>
      <c r="AD196" s="44"/>
      <c r="AE196" s="88"/>
    </row>
    <row r="197" spans="1:31" ht="37.5" hidden="1">
      <c r="A197" s="56"/>
      <c r="B197" s="48"/>
      <c r="C197" s="59" t="s">
        <v>379</v>
      </c>
      <c r="D197" s="59" t="s">
        <v>380</v>
      </c>
      <c r="E197" s="20" t="s">
        <v>381</v>
      </c>
      <c r="F197" s="51">
        <v>105861600</v>
      </c>
      <c r="G197" s="59"/>
      <c r="H197" s="59"/>
      <c r="I197" s="20" t="s">
        <v>382</v>
      </c>
      <c r="J197" s="51">
        <v>257752400</v>
      </c>
      <c r="K197" s="61">
        <v>19</v>
      </c>
      <c r="L197" s="41">
        <v>0</v>
      </c>
      <c r="M197" s="20">
        <v>0</v>
      </c>
      <c r="N197" s="82">
        <v>0</v>
      </c>
      <c r="O197" s="86"/>
      <c r="P197" s="86">
        <f>40157500-L197-N197</f>
        <v>40157500</v>
      </c>
      <c r="Q197" s="20"/>
      <c r="R197" s="80"/>
      <c r="S197" s="87">
        <f t="shared" ref="S197:T197" si="158">K197+M197+O197+Q197</f>
        <v>19</v>
      </c>
      <c r="T197" s="18">
        <f t="shared" si="158"/>
        <v>40157500</v>
      </c>
      <c r="U197" s="27">
        <v>1</v>
      </c>
      <c r="V197" s="27">
        <f t="shared" si="12"/>
        <v>0.15579874329007218</v>
      </c>
      <c r="W197" s="11"/>
      <c r="X197" s="11"/>
      <c r="Y197" s="11"/>
      <c r="Z197" s="11"/>
      <c r="AA197" s="20" t="s">
        <v>56</v>
      </c>
      <c r="AB197" s="88"/>
      <c r="AC197" s="22"/>
      <c r="AD197" s="44"/>
      <c r="AE197" s="88"/>
    </row>
    <row r="198" spans="1:31" ht="62.5" hidden="1">
      <c r="A198" s="56"/>
      <c r="B198" s="48"/>
      <c r="C198" s="59" t="s">
        <v>383</v>
      </c>
      <c r="D198" s="59" t="s">
        <v>384</v>
      </c>
      <c r="E198" s="20" t="s">
        <v>358</v>
      </c>
      <c r="F198" s="51">
        <v>455000000</v>
      </c>
      <c r="G198" s="59"/>
      <c r="H198" s="59"/>
      <c r="I198" s="20" t="s">
        <v>355</v>
      </c>
      <c r="J198" s="51">
        <v>156730800</v>
      </c>
      <c r="K198" s="61">
        <v>0</v>
      </c>
      <c r="L198" s="41">
        <v>9834012</v>
      </c>
      <c r="M198" s="20">
        <v>0</v>
      </c>
      <c r="N198" s="82">
        <f>17711812-L198</f>
        <v>7877800</v>
      </c>
      <c r="O198" s="86"/>
      <c r="P198" s="86">
        <f>35352580-L198-N198</f>
        <v>17640768</v>
      </c>
      <c r="Q198" s="20"/>
      <c r="R198" s="80"/>
      <c r="S198" s="87">
        <f t="shared" ref="S198:T198" si="159">K198+M198+O198+Q198</f>
        <v>0</v>
      </c>
      <c r="T198" s="18">
        <f t="shared" si="159"/>
        <v>35352580</v>
      </c>
      <c r="U198" s="27">
        <f>S198/2</f>
        <v>0</v>
      </c>
      <c r="V198" s="27">
        <f t="shared" si="12"/>
        <v>0.2255624293374372</v>
      </c>
      <c r="W198" s="11"/>
      <c r="X198" s="11"/>
      <c r="Y198" s="11"/>
      <c r="Z198" s="11"/>
      <c r="AA198" s="20" t="s">
        <v>56</v>
      </c>
      <c r="AB198" s="88"/>
      <c r="AC198" s="22"/>
      <c r="AD198" s="44"/>
      <c r="AE198" s="88"/>
    </row>
    <row r="199" spans="1:31" ht="50" hidden="1">
      <c r="A199" s="56"/>
      <c r="B199" s="48"/>
      <c r="C199" s="59" t="s">
        <v>385</v>
      </c>
      <c r="D199" s="59" t="s">
        <v>386</v>
      </c>
      <c r="E199" s="20" t="s">
        <v>387</v>
      </c>
      <c r="F199" s="51">
        <v>1273036440</v>
      </c>
      <c r="G199" s="59"/>
      <c r="H199" s="59"/>
      <c r="I199" s="20" t="s">
        <v>388</v>
      </c>
      <c r="J199" s="51">
        <v>1877615000</v>
      </c>
      <c r="K199" s="61">
        <v>3</v>
      </c>
      <c r="L199" s="41">
        <v>53400000</v>
      </c>
      <c r="M199" s="20">
        <v>2</v>
      </c>
      <c r="N199" s="82">
        <f>84838000-L199</f>
        <v>31438000</v>
      </c>
      <c r="O199" s="86"/>
      <c r="P199" s="86">
        <f>164631890-L199-N199</f>
        <v>79793890</v>
      </c>
      <c r="Q199" s="20"/>
      <c r="R199" s="80"/>
      <c r="S199" s="87">
        <f t="shared" ref="S199:T199" si="160">K199+M199+O199+Q199</f>
        <v>5</v>
      </c>
      <c r="T199" s="18">
        <f t="shared" si="160"/>
        <v>164631890</v>
      </c>
      <c r="U199" s="27">
        <f>S199/13</f>
        <v>0.38461538461538464</v>
      </c>
      <c r="V199" s="27">
        <f t="shared" si="12"/>
        <v>8.7681388357038051E-2</v>
      </c>
      <c r="W199" s="11"/>
      <c r="X199" s="11"/>
      <c r="Y199" s="11"/>
      <c r="Z199" s="11"/>
      <c r="AA199" s="20" t="s">
        <v>56</v>
      </c>
      <c r="AB199" s="88"/>
      <c r="AC199" s="22"/>
      <c r="AD199" s="44"/>
      <c r="AE199" s="88"/>
    </row>
    <row r="200" spans="1:31" ht="50" hidden="1">
      <c r="A200" s="56"/>
      <c r="B200" s="48"/>
      <c r="C200" s="59" t="s">
        <v>389</v>
      </c>
      <c r="D200" s="59" t="s">
        <v>386</v>
      </c>
      <c r="E200" s="20"/>
      <c r="F200" s="51"/>
      <c r="G200" s="59"/>
      <c r="H200" s="59"/>
      <c r="I200" s="20" t="s">
        <v>312</v>
      </c>
      <c r="J200" s="51">
        <v>6100000</v>
      </c>
      <c r="K200" s="61">
        <v>3</v>
      </c>
      <c r="L200" s="41">
        <v>0</v>
      </c>
      <c r="M200" s="20">
        <v>2</v>
      </c>
      <c r="N200" s="82">
        <v>80000</v>
      </c>
      <c r="O200" s="86"/>
      <c r="P200" s="86"/>
      <c r="Q200" s="20"/>
      <c r="R200" s="80"/>
      <c r="S200" s="87">
        <f t="shared" ref="S200:T200" si="161">K200+M200+O200+Q200</f>
        <v>5</v>
      </c>
      <c r="T200" s="18">
        <f t="shared" si="161"/>
        <v>80000</v>
      </c>
      <c r="U200" s="27">
        <f t="shared" ref="U200:U210" si="162">S200/12</f>
        <v>0.41666666666666669</v>
      </c>
      <c r="V200" s="27">
        <f t="shared" si="12"/>
        <v>1.3114754098360656E-2</v>
      </c>
      <c r="W200" s="11"/>
      <c r="X200" s="11"/>
      <c r="Y200" s="11"/>
      <c r="Z200" s="11"/>
      <c r="AA200" s="20" t="s">
        <v>112</v>
      </c>
      <c r="AB200" s="88"/>
      <c r="AC200" s="22"/>
      <c r="AD200" s="44"/>
      <c r="AE200" s="88"/>
    </row>
    <row r="201" spans="1:31" ht="50" hidden="1">
      <c r="A201" s="56"/>
      <c r="B201" s="48"/>
      <c r="C201" s="59" t="s">
        <v>390</v>
      </c>
      <c r="D201" s="59" t="s">
        <v>386</v>
      </c>
      <c r="E201" s="20"/>
      <c r="F201" s="51"/>
      <c r="G201" s="59"/>
      <c r="H201" s="59"/>
      <c r="I201" s="20" t="s">
        <v>312</v>
      </c>
      <c r="J201" s="51">
        <v>9000000</v>
      </c>
      <c r="K201" s="61">
        <v>3</v>
      </c>
      <c r="L201" s="41">
        <v>0</v>
      </c>
      <c r="M201" s="20">
        <v>2</v>
      </c>
      <c r="N201" s="82">
        <v>25900</v>
      </c>
      <c r="O201" s="86"/>
      <c r="P201" s="86"/>
      <c r="Q201" s="20"/>
      <c r="R201" s="80"/>
      <c r="S201" s="87">
        <f t="shared" ref="S201:T201" si="163">K201+M201+O201+Q201</f>
        <v>5</v>
      </c>
      <c r="T201" s="18">
        <f t="shared" si="163"/>
        <v>25900</v>
      </c>
      <c r="U201" s="27">
        <f t="shared" si="162"/>
        <v>0.41666666666666669</v>
      </c>
      <c r="V201" s="27">
        <f t="shared" si="12"/>
        <v>2.8777777777777777E-3</v>
      </c>
      <c r="W201" s="11"/>
      <c r="X201" s="11"/>
      <c r="Y201" s="11"/>
      <c r="Z201" s="11"/>
      <c r="AA201" s="20" t="s">
        <v>115</v>
      </c>
      <c r="AB201" s="88"/>
      <c r="AC201" s="22"/>
      <c r="AD201" s="44"/>
      <c r="AE201" s="88"/>
    </row>
    <row r="202" spans="1:31" ht="50" hidden="1">
      <c r="A202" s="56"/>
      <c r="B202" s="48"/>
      <c r="C202" s="59" t="s">
        <v>391</v>
      </c>
      <c r="D202" s="59" t="s">
        <v>386</v>
      </c>
      <c r="E202" s="20"/>
      <c r="F202" s="51"/>
      <c r="G202" s="59"/>
      <c r="H202" s="59"/>
      <c r="I202" s="20" t="s">
        <v>312</v>
      </c>
      <c r="J202" s="51">
        <v>48816750</v>
      </c>
      <c r="K202" s="61">
        <v>3</v>
      </c>
      <c r="L202" s="41">
        <v>0</v>
      </c>
      <c r="M202" s="20">
        <v>2</v>
      </c>
      <c r="N202" s="82">
        <v>6032061</v>
      </c>
      <c r="O202" s="86"/>
      <c r="P202" s="86"/>
      <c r="Q202" s="20"/>
      <c r="R202" s="80"/>
      <c r="S202" s="87">
        <f t="shared" ref="S202:T202" si="164">K202+M202+O202+Q202</f>
        <v>5</v>
      </c>
      <c r="T202" s="18">
        <f t="shared" si="164"/>
        <v>6032061</v>
      </c>
      <c r="U202" s="27">
        <f t="shared" si="162"/>
        <v>0.41666666666666669</v>
      </c>
      <c r="V202" s="27">
        <f t="shared" si="12"/>
        <v>0.12356539507443653</v>
      </c>
      <c r="W202" s="11"/>
      <c r="X202" s="11"/>
      <c r="Y202" s="11"/>
      <c r="Z202" s="11"/>
      <c r="AA202" s="20" t="s">
        <v>118</v>
      </c>
      <c r="AB202" s="88"/>
      <c r="AC202" s="22"/>
      <c r="AD202" s="44"/>
      <c r="AE202" s="88"/>
    </row>
    <row r="203" spans="1:31" ht="50" hidden="1">
      <c r="A203" s="56"/>
      <c r="B203" s="48"/>
      <c r="C203" s="59" t="s">
        <v>392</v>
      </c>
      <c r="D203" s="59" t="s">
        <v>386</v>
      </c>
      <c r="E203" s="20"/>
      <c r="F203" s="51"/>
      <c r="G203" s="59"/>
      <c r="H203" s="59"/>
      <c r="I203" s="20" t="s">
        <v>312</v>
      </c>
      <c r="J203" s="51">
        <v>20358500</v>
      </c>
      <c r="K203" s="61">
        <v>3</v>
      </c>
      <c r="L203" s="41">
        <v>0</v>
      </c>
      <c r="M203" s="20">
        <v>2</v>
      </c>
      <c r="N203" s="82">
        <v>0</v>
      </c>
      <c r="O203" s="86"/>
      <c r="P203" s="86"/>
      <c r="Q203" s="20"/>
      <c r="R203" s="80"/>
      <c r="S203" s="87">
        <f t="shared" ref="S203:T203" si="165">K203+M203+O203+Q203</f>
        <v>5</v>
      </c>
      <c r="T203" s="18">
        <f t="shared" si="165"/>
        <v>0</v>
      </c>
      <c r="U203" s="27">
        <f t="shared" si="162"/>
        <v>0.41666666666666669</v>
      </c>
      <c r="V203" s="27">
        <f t="shared" si="12"/>
        <v>0</v>
      </c>
      <c r="W203" s="11"/>
      <c r="X203" s="11"/>
      <c r="Y203" s="11"/>
      <c r="Z203" s="11"/>
      <c r="AA203" s="20" t="s">
        <v>121</v>
      </c>
      <c r="AB203" s="88"/>
      <c r="AC203" s="22"/>
      <c r="AD203" s="44"/>
      <c r="AE203" s="88"/>
    </row>
    <row r="204" spans="1:31" ht="50" hidden="1">
      <c r="A204" s="56"/>
      <c r="B204" s="48"/>
      <c r="C204" s="59" t="s">
        <v>393</v>
      </c>
      <c r="D204" s="59" t="s">
        <v>386</v>
      </c>
      <c r="E204" s="20"/>
      <c r="F204" s="51"/>
      <c r="G204" s="59"/>
      <c r="H204" s="59"/>
      <c r="I204" s="20" t="s">
        <v>312</v>
      </c>
      <c r="J204" s="51">
        <v>8900000</v>
      </c>
      <c r="K204" s="61">
        <v>3</v>
      </c>
      <c r="L204" s="41">
        <v>0</v>
      </c>
      <c r="M204" s="20">
        <v>3</v>
      </c>
      <c r="N204" s="82">
        <v>1515150</v>
      </c>
      <c r="O204" s="86"/>
      <c r="P204" s="86"/>
      <c r="Q204" s="20"/>
      <c r="R204" s="80"/>
      <c r="S204" s="87">
        <f t="shared" ref="S204:T204" si="166">K204+M204+O204+Q204</f>
        <v>6</v>
      </c>
      <c r="T204" s="18">
        <f t="shared" si="166"/>
        <v>1515150</v>
      </c>
      <c r="U204" s="27">
        <f t="shared" si="162"/>
        <v>0.5</v>
      </c>
      <c r="V204" s="27">
        <f t="shared" si="12"/>
        <v>0.17024157303370788</v>
      </c>
      <c r="W204" s="11"/>
      <c r="X204" s="11"/>
      <c r="Y204" s="11"/>
      <c r="Z204" s="11"/>
      <c r="AA204" s="20" t="s">
        <v>124</v>
      </c>
      <c r="AB204" s="88"/>
      <c r="AC204" s="22"/>
      <c r="AD204" s="44"/>
      <c r="AE204" s="88"/>
    </row>
    <row r="205" spans="1:31" ht="50" hidden="1">
      <c r="A205" s="56"/>
      <c r="B205" s="48"/>
      <c r="C205" s="59" t="s">
        <v>394</v>
      </c>
      <c r="D205" s="59" t="s">
        <v>386</v>
      </c>
      <c r="E205" s="20"/>
      <c r="F205" s="51"/>
      <c r="G205" s="59"/>
      <c r="H205" s="59"/>
      <c r="I205" s="20" t="s">
        <v>312</v>
      </c>
      <c r="J205" s="51">
        <v>14104000</v>
      </c>
      <c r="K205" s="61">
        <v>3</v>
      </c>
      <c r="L205" s="41">
        <v>0</v>
      </c>
      <c r="M205" s="20">
        <v>2</v>
      </c>
      <c r="N205" s="82">
        <v>4425000</v>
      </c>
      <c r="O205" s="86"/>
      <c r="P205" s="86"/>
      <c r="Q205" s="20"/>
      <c r="R205" s="80"/>
      <c r="S205" s="87">
        <f t="shared" ref="S205:T205" si="167">K205+M205+O205+Q205</f>
        <v>5</v>
      </c>
      <c r="T205" s="18">
        <f t="shared" si="167"/>
        <v>4425000</v>
      </c>
      <c r="U205" s="27">
        <f t="shared" si="162"/>
        <v>0.41666666666666669</v>
      </c>
      <c r="V205" s="27">
        <f t="shared" si="12"/>
        <v>0.31374078275666478</v>
      </c>
      <c r="W205" s="11"/>
      <c r="X205" s="11"/>
      <c r="Y205" s="11"/>
      <c r="Z205" s="11"/>
      <c r="AA205" s="20" t="s">
        <v>127</v>
      </c>
      <c r="AB205" s="88"/>
      <c r="AC205" s="22"/>
      <c r="AD205" s="44"/>
      <c r="AE205" s="88"/>
    </row>
    <row r="206" spans="1:31" ht="50">
      <c r="A206" s="56"/>
      <c r="B206" s="48"/>
      <c r="C206" s="59" t="s">
        <v>395</v>
      </c>
      <c r="D206" s="59" t="s">
        <v>386</v>
      </c>
      <c r="E206" s="20"/>
      <c r="F206" s="51"/>
      <c r="G206" s="59"/>
      <c r="H206" s="59"/>
      <c r="I206" s="20" t="s">
        <v>312</v>
      </c>
      <c r="J206" s="51">
        <v>100502000</v>
      </c>
      <c r="K206" s="61">
        <v>3</v>
      </c>
      <c r="L206" s="41">
        <v>0</v>
      </c>
      <c r="M206" s="20">
        <v>3</v>
      </c>
      <c r="N206" s="82">
        <v>0</v>
      </c>
      <c r="O206" s="86">
        <v>3</v>
      </c>
      <c r="P206" s="86">
        <v>95944000</v>
      </c>
      <c r="Q206" s="20">
        <v>3</v>
      </c>
      <c r="R206" s="80">
        <v>350000</v>
      </c>
      <c r="S206" s="87">
        <f t="shared" ref="S206:T206" si="168">K206+M206+O206+Q206</f>
        <v>12</v>
      </c>
      <c r="T206" s="18">
        <f t="shared" si="168"/>
        <v>96294000</v>
      </c>
      <c r="U206" s="27">
        <f t="shared" si="162"/>
        <v>1</v>
      </c>
      <c r="V206" s="27">
        <f t="shared" si="12"/>
        <v>0.95813018646395098</v>
      </c>
      <c r="W206" s="11"/>
      <c r="X206" s="11"/>
      <c r="Y206" s="11"/>
      <c r="Z206" s="11"/>
      <c r="AA206" s="20" t="s">
        <v>130</v>
      </c>
      <c r="AB206" s="88"/>
      <c r="AC206" s="22"/>
      <c r="AD206" s="44"/>
      <c r="AE206" s="88"/>
    </row>
    <row r="207" spans="1:31" ht="50" hidden="1">
      <c r="A207" s="56"/>
      <c r="B207" s="48"/>
      <c r="C207" s="59" t="s">
        <v>396</v>
      </c>
      <c r="D207" s="59" t="s">
        <v>386</v>
      </c>
      <c r="E207" s="20"/>
      <c r="F207" s="51"/>
      <c r="G207" s="59"/>
      <c r="H207" s="59"/>
      <c r="I207" s="20" t="s">
        <v>312</v>
      </c>
      <c r="J207" s="51">
        <v>58302000</v>
      </c>
      <c r="K207" s="61">
        <v>3</v>
      </c>
      <c r="L207" s="41">
        <v>0</v>
      </c>
      <c r="M207" s="20">
        <v>2</v>
      </c>
      <c r="N207" s="82">
        <v>3157350</v>
      </c>
      <c r="O207" s="86"/>
      <c r="P207" s="86"/>
      <c r="Q207" s="20"/>
      <c r="R207" s="80"/>
      <c r="S207" s="87">
        <f t="shared" ref="S207:T207" si="169">K207+M207+O207+Q207</f>
        <v>5</v>
      </c>
      <c r="T207" s="18">
        <f t="shared" si="169"/>
        <v>3157350</v>
      </c>
      <c r="U207" s="27">
        <f t="shared" si="162"/>
        <v>0.41666666666666669</v>
      </c>
      <c r="V207" s="27">
        <f t="shared" si="12"/>
        <v>5.4155089019244623E-2</v>
      </c>
      <c r="W207" s="11"/>
      <c r="X207" s="11"/>
      <c r="Y207" s="11"/>
      <c r="Z207" s="11"/>
      <c r="AA207" s="20" t="s">
        <v>133</v>
      </c>
      <c r="AB207" s="88"/>
      <c r="AC207" s="22"/>
      <c r="AD207" s="44"/>
      <c r="AE207" s="88"/>
    </row>
    <row r="208" spans="1:31" ht="50" hidden="1">
      <c r="A208" s="56"/>
      <c r="B208" s="48"/>
      <c r="C208" s="59" t="s">
        <v>397</v>
      </c>
      <c r="D208" s="59" t="s">
        <v>386</v>
      </c>
      <c r="E208" s="20"/>
      <c r="F208" s="51"/>
      <c r="G208" s="59"/>
      <c r="H208" s="59"/>
      <c r="I208" s="20" t="s">
        <v>312</v>
      </c>
      <c r="J208" s="51">
        <v>5900000</v>
      </c>
      <c r="K208" s="61">
        <v>3</v>
      </c>
      <c r="L208" s="41">
        <v>0</v>
      </c>
      <c r="M208" s="20">
        <v>2</v>
      </c>
      <c r="N208" s="82">
        <v>1200000</v>
      </c>
      <c r="O208" s="86"/>
      <c r="P208" s="86"/>
      <c r="Q208" s="20"/>
      <c r="R208" s="80"/>
      <c r="S208" s="87">
        <f t="shared" ref="S208:T208" si="170">K208+M208+O208+Q208</f>
        <v>5</v>
      </c>
      <c r="T208" s="18">
        <f t="shared" si="170"/>
        <v>1200000</v>
      </c>
      <c r="U208" s="27">
        <f t="shared" si="162"/>
        <v>0.41666666666666669</v>
      </c>
      <c r="V208" s="27">
        <f t="shared" si="12"/>
        <v>0.20338983050847459</v>
      </c>
      <c r="W208" s="11"/>
      <c r="X208" s="11"/>
      <c r="Y208" s="11"/>
      <c r="Z208" s="11"/>
      <c r="AA208" s="20" t="s">
        <v>136</v>
      </c>
      <c r="AB208" s="88"/>
      <c r="AC208" s="22"/>
      <c r="AD208" s="44"/>
      <c r="AE208" s="88"/>
    </row>
    <row r="209" spans="1:31" ht="50" hidden="1">
      <c r="A209" s="56"/>
      <c r="B209" s="48"/>
      <c r="C209" s="59" t="s">
        <v>398</v>
      </c>
      <c r="D209" s="59" t="s">
        <v>386</v>
      </c>
      <c r="E209" s="20"/>
      <c r="F209" s="51"/>
      <c r="G209" s="59"/>
      <c r="H209" s="59"/>
      <c r="I209" s="20" t="s">
        <v>342</v>
      </c>
      <c r="J209" s="51">
        <v>21100000</v>
      </c>
      <c r="K209" s="61">
        <v>3</v>
      </c>
      <c r="L209" s="41">
        <v>0</v>
      </c>
      <c r="M209" s="20">
        <v>2</v>
      </c>
      <c r="N209" s="82">
        <v>1675146</v>
      </c>
      <c r="O209" s="86"/>
      <c r="P209" s="86"/>
      <c r="Q209" s="20"/>
      <c r="R209" s="80"/>
      <c r="S209" s="87">
        <f t="shared" ref="S209:T209" si="171">K209+M209+O209+Q209</f>
        <v>5</v>
      </c>
      <c r="T209" s="18">
        <f t="shared" si="171"/>
        <v>1675146</v>
      </c>
      <c r="U209" s="27">
        <f t="shared" si="162"/>
        <v>0.41666666666666669</v>
      </c>
      <c r="V209" s="27">
        <f t="shared" si="12"/>
        <v>7.9390805687203789E-2</v>
      </c>
      <c r="W209" s="11"/>
      <c r="X209" s="11"/>
      <c r="Y209" s="11"/>
      <c r="Z209" s="11"/>
      <c r="AA209" s="20" t="s">
        <v>139</v>
      </c>
      <c r="AB209" s="88"/>
      <c r="AC209" s="22"/>
      <c r="AD209" s="44"/>
      <c r="AE209" s="88"/>
    </row>
    <row r="210" spans="1:31" ht="50" hidden="1">
      <c r="A210" s="56"/>
      <c r="B210" s="48"/>
      <c r="C210" s="59" t="s">
        <v>399</v>
      </c>
      <c r="D210" s="59" t="s">
        <v>386</v>
      </c>
      <c r="E210" s="20"/>
      <c r="F210" s="51"/>
      <c r="G210" s="59"/>
      <c r="H210" s="59"/>
      <c r="I210" s="20" t="s">
        <v>312</v>
      </c>
      <c r="J210" s="51">
        <v>226100000</v>
      </c>
      <c r="K210" s="61">
        <v>3</v>
      </c>
      <c r="L210" s="41">
        <v>0</v>
      </c>
      <c r="M210" s="20">
        <v>2</v>
      </c>
      <c r="N210" s="82">
        <v>100000</v>
      </c>
      <c r="O210" s="86"/>
      <c r="P210" s="86"/>
      <c r="Q210" s="20"/>
      <c r="R210" s="80"/>
      <c r="S210" s="87">
        <f t="shared" ref="S210:T210" si="172">K210+M210+O210+Q210</f>
        <v>5</v>
      </c>
      <c r="T210" s="18">
        <f t="shared" si="172"/>
        <v>100000</v>
      </c>
      <c r="U210" s="27">
        <f t="shared" si="162"/>
        <v>0.41666666666666669</v>
      </c>
      <c r="V210" s="27">
        <f t="shared" si="12"/>
        <v>4.4228217602830609E-4</v>
      </c>
      <c r="W210" s="11"/>
      <c r="X210" s="11"/>
      <c r="Y210" s="11"/>
      <c r="Z210" s="11"/>
      <c r="AA210" s="20" t="s">
        <v>142</v>
      </c>
      <c r="AB210" s="88"/>
      <c r="AC210" s="22"/>
      <c r="AD210" s="44"/>
      <c r="AE210" s="88"/>
    </row>
    <row r="211" spans="1:31" ht="50" hidden="1">
      <c r="A211" s="56"/>
      <c r="B211" s="48"/>
      <c r="C211" s="59" t="s">
        <v>400</v>
      </c>
      <c r="D211" s="59" t="s">
        <v>386</v>
      </c>
      <c r="E211" s="20"/>
      <c r="F211" s="51"/>
      <c r="G211" s="59"/>
      <c r="H211" s="59"/>
      <c r="I211" s="20" t="s">
        <v>388</v>
      </c>
      <c r="J211" s="51">
        <v>11200000</v>
      </c>
      <c r="K211" s="61">
        <v>3</v>
      </c>
      <c r="L211" s="41">
        <v>0</v>
      </c>
      <c r="M211" s="20">
        <v>2</v>
      </c>
      <c r="N211" s="82">
        <v>0</v>
      </c>
      <c r="O211" s="86"/>
      <c r="P211" s="86"/>
      <c r="Q211" s="20"/>
      <c r="R211" s="80"/>
      <c r="S211" s="87">
        <f t="shared" ref="S211:T211" si="173">K211+M211+O211+Q211</f>
        <v>5</v>
      </c>
      <c r="T211" s="18">
        <f t="shared" si="173"/>
        <v>0</v>
      </c>
      <c r="U211" s="27">
        <f>S211/13</f>
        <v>0.38461538461538464</v>
      </c>
      <c r="V211" s="27">
        <f t="shared" si="12"/>
        <v>0</v>
      </c>
      <c r="W211" s="11"/>
      <c r="X211" s="11"/>
      <c r="Y211" s="11"/>
      <c r="Z211" s="11"/>
      <c r="AA211" s="20" t="s">
        <v>145</v>
      </c>
      <c r="AB211" s="88"/>
      <c r="AC211" s="22"/>
      <c r="AD211" s="44"/>
      <c r="AE211" s="88"/>
    </row>
    <row r="212" spans="1:31" ht="50" hidden="1">
      <c r="A212" s="56"/>
      <c r="B212" s="48"/>
      <c r="C212" s="59" t="s">
        <v>401</v>
      </c>
      <c r="D212" s="59" t="s">
        <v>386</v>
      </c>
      <c r="E212" s="20"/>
      <c r="F212" s="51"/>
      <c r="G212" s="59"/>
      <c r="H212" s="59"/>
      <c r="I212" s="20" t="s">
        <v>312</v>
      </c>
      <c r="J212" s="51">
        <v>36300000</v>
      </c>
      <c r="K212" s="61">
        <v>3</v>
      </c>
      <c r="L212" s="41">
        <v>0</v>
      </c>
      <c r="M212" s="20">
        <v>2</v>
      </c>
      <c r="N212" s="82">
        <v>1250000</v>
      </c>
      <c r="O212" s="86"/>
      <c r="P212" s="86"/>
      <c r="Q212" s="20"/>
      <c r="R212" s="80"/>
      <c r="S212" s="87">
        <f t="shared" ref="S212:T212" si="174">K212+M212+O212+Q212</f>
        <v>5</v>
      </c>
      <c r="T212" s="18">
        <f t="shared" si="174"/>
        <v>1250000</v>
      </c>
      <c r="U212" s="27">
        <f t="shared" ref="U212:U215" si="175">S212/12</f>
        <v>0.41666666666666669</v>
      </c>
      <c r="V212" s="27">
        <f t="shared" si="12"/>
        <v>3.4435261707988982E-2</v>
      </c>
      <c r="W212" s="11"/>
      <c r="X212" s="11"/>
      <c r="Y212" s="11"/>
      <c r="Z212" s="11"/>
      <c r="AA212" s="20" t="s">
        <v>148</v>
      </c>
      <c r="AB212" s="88"/>
      <c r="AC212" s="22"/>
      <c r="AD212" s="44"/>
      <c r="AE212" s="88"/>
    </row>
    <row r="213" spans="1:31" ht="50" hidden="1">
      <c r="A213" s="56"/>
      <c r="B213" s="48"/>
      <c r="C213" s="59" t="s">
        <v>402</v>
      </c>
      <c r="D213" s="59" t="s">
        <v>386</v>
      </c>
      <c r="E213" s="20"/>
      <c r="F213" s="51"/>
      <c r="G213" s="59"/>
      <c r="H213" s="59"/>
      <c r="I213" s="20" t="s">
        <v>312</v>
      </c>
      <c r="J213" s="51">
        <v>52637850</v>
      </c>
      <c r="K213" s="61">
        <v>3</v>
      </c>
      <c r="L213" s="41">
        <v>0</v>
      </c>
      <c r="M213" s="20">
        <v>2</v>
      </c>
      <c r="N213" s="82">
        <v>5534000</v>
      </c>
      <c r="O213" s="86"/>
      <c r="P213" s="86"/>
      <c r="Q213" s="20"/>
      <c r="R213" s="80"/>
      <c r="S213" s="87">
        <f t="shared" ref="S213:T213" si="176">K213+M213+O213+Q213</f>
        <v>5</v>
      </c>
      <c r="T213" s="18">
        <f t="shared" si="176"/>
        <v>5534000</v>
      </c>
      <c r="U213" s="27">
        <f t="shared" si="175"/>
        <v>0.41666666666666669</v>
      </c>
      <c r="V213" s="27">
        <f t="shared" si="12"/>
        <v>0.10513347334665074</v>
      </c>
      <c r="W213" s="11"/>
      <c r="X213" s="11"/>
      <c r="Y213" s="11"/>
      <c r="Z213" s="11"/>
      <c r="AA213" s="20" t="s">
        <v>151</v>
      </c>
      <c r="AB213" s="88"/>
      <c r="AC213" s="22"/>
      <c r="AD213" s="44"/>
      <c r="AE213" s="88"/>
    </row>
    <row r="214" spans="1:31" ht="50" hidden="1">
      <c r="A214" s="56"/>
      <c r="B214" s="48"/>
      <c r="C214" s="59" t="s">
        <v>403</v>
      </c>
      <c r="D214" s="59" t="s">
        <v>386</v>
      </c>
      <c r="E214" s="20"/>
      <c r="F214" s="51"/>
      <c r="G214" s="59"/>
      <c r="H214" s="59"/>
      <c r="I214" s="20" t="s">
        <v>312</v>
      </c>
      <c r="J214" s="51">
        <v>13935750</v>
      </c>
      <c r="K214" s="61">
        <v>3</v>
      </c>
      <c r="L214" s="41">
        <v>0</v>
      </c>
      <c r="M214" s="20">
        <v>2</v>
      </c>
      <c r="N214" s="82">
        <v>396000</v>
      </c>
      <c r="O214" s="86"/>
      <c r="P214" s="86"/>
      <c r="Q214" s="20"/>
      <c r="R214" s="80"/>
      <c r="S214" s="87">
        <f t="shared" ref="S214:T214" si="177">K214+M214+O214+Q214</f>
        <v>5</v>
      </c>
      <c r="T214" s="18">
        <f t="shared" si="177"/>
        <v>396000</v>
      </c>
      <c r="U214" s="27">
        <f t="shared" si="175"/>
        <v>0.41666666666666669</v>
      </c>
      <c r="V214" s="27">
        <f t="shared" si="12"/>
        <v>2.8416123997631989E-2</v>
      </c>
      <c r="W214" s="11"/>
      <c r="X214" s="11"/>
      <c r="Y214" s="11"/>
      <c r="Z214" s="11"/>
      <c r="AA214" s="20" t="s">
        <v>154</v>
      </c>
      <c r="AB214" s="88"/>
      <c r="AC214" s="22"/>
      <c r="AD214" s="44"/>
      <c r="AE214" s="88"/>
    </row>
    <row r="215" spans="1:31" ht="50" hidden="1">
      <c r="A215" s="56"/>
      <c r="B215" s="48"/>
      <c r="C215" s="59" t="s">
        <v>404</v>
      </c>
      <c r="D215" s="59" t="s">
        <v>386</v>
      </c>
      <c r="E215" s="20"/>
      <c r="F215" s="51"/>
      <c r="G215" s="59"/>
      <c r="H215" s="59"/>
      <c r="I215" s="20" t="s">
        <v>312</v>
      </c>
      <c r="J215" s="51">
        <v>20400000</v>
      </c>
      <c r="K215" s="61">
        <v>3</v>
      </c>
      <c r="L215" s="41">
        <v>0</v>
      </c>
      <c r="M215" s="20">
        <v>2</v>
      </c>
      <c r="N215" s="82">
        <v>0</v>
      </c>
      <c r="O215" s="86"/>
      <c r="P215" s="86"/>
      <c r="Q215" s="20"/>
      <c r="R215" s="80"/>
      <c r="S215" s="87">
        <f t="shared" ref="S215:T215" si="178">K215+M215+O215+Q215</f>
        <v>5</v>
      </c>
      <c r="T215" s="18">
        <f t="shared" si="178"/>
        <v>0</v>
      </c>
      <c r="U215" s="27">
        <f t="shared" si="175"/>
        <v>0.41666666666666669</v>
      </c>
      <c r="V215" s="27">
        <f t="shared" si="12"/>
        <v>0</v>
      </c>
      <c r="W215" s="11"/>
      <c r="X215" s="11"/>
      <c r="Y215" s="11"/>
      <c r="Z215" s="11"/>
      <c r="AA215" s="20" t="s">
        <v>157</v>
      </c>
      <c r="AB215" s="88"/>
      <c r="AC215" s="22"/>
      <c r="AD215" s="44"/>
      <c r="AE215" s="88"/>
    </row>
    <row r="216" spans="1:31" ht="37.5" hidden="1">
      <c r="A216" s="56"/>
      <c r="B216" s="48"/>
      <c r="C216" s="59" t="s">
        <v>405</v>
      </c>
      <c r="D216" s="59" t="s">
        <v>406</v>
      </c>
      <c r="E216" s="20" t="s">
        <v>358</v>
      </c>
      <c r="F216" s="51">
        <v>134307331200</v>
      </c>
      <c r="G216" s="59"/>
      <c r="H216" s="59"/>
      <c r="I216" s="20" t="s">
        <v>355</v>
      </c>
      <c r="J216" s="51">
        <v>171328184517</v>
      </c>
      <c r="K216" s="61">
        <v>0</v>
      </c>
      <c r="L216" s="41">
        <v>27997582661</v>
      </c>
      <c r="M216" s="20">
        <v>1</v>
      </c>
      <c r="N216" s="82">
        <f>56227637211-L216</f>
        <v>28230054550</v>
      </c>
      <c r="O216" s="86"/>
      <c r="P216" s="86">
        <f>112977386283-L216-N216</f>
        <v>56749749072</v>
      </c>
      <c r="Q216" s="20"/>
      <c r="R216" s="80"/>
      <c r="S216" s="87">
        <f t="shared" ref="S216:T216" si="179">K216+M216+O216+Q216</f>
        <v>1</v>
      </c>
      <c r="T216" s="18">
        <f t="shared" si="179"/>
        <v>112977386283</v>
      </c>
      <c r="U216" s="27">
        <f>S216/2</f>
        <v>0.5</v>
      </c>
      <c r="V216" s="27">
        <f t="shared" si="12"/>
        <v>0.65942090381393048</v>
      </c>
      <c r="W216" s="11"/>
      <c r="X216" s="11"/>
      <c r="Y216" s="11"/>
      <c r="Z216" s="11"/>
      <c r="AA216" s="20" t="s">
        <v>56</v>
      </c>
      <c r="AB216" s="88"/>
      <c r="AC216" s="22"/>
      <c r="AD216" s="44"/>
      <c r="AE216" s="88"/>
    </row>
    <row r="217" spans="1:31" ht="75" hidden="1">
      <c r="A217" s="56"/>
      <c r="B217" s="48"/>
      <c r="C217" s="59" t="s">
        <v>407</v>
      </c>
      <c r="D217" s="59" t="s">
        <v>408</v>
      </c>
      <c r="E217" s="20"/>
      <c r="F217" s="51"/>
      <c r="G217" s="59"/>
      <c r="H217" s="59"/>
      <c r="I217" s="20" t="s">
        <v>409</v>
      </c>
      <c r="J217" s="51">
        <v>81121000</v>
      </c>
      <c r="K217" s="61">
        <v>0</v>
      </c>
      <c r="L217" s="41">
        <v>0</v>
      </c>
      <c r="M217" s="20">
        <v>24</v>
      </c>
      <c r="N217" s="82">
        <f>196500-L217</f>
        <v>196500</v>
      </c>
      <c r="O217" s="86"/>
      <c r="P217" s="86">
        <f>2279500-L217-N217</f>
        <v>2083000</v>
      </c>
      <c r="Q217" s="20"/>
      <c r="R217" s="80"/>
      <c r="S217" s="87">
        <f t="shared" ref="S217:T217" si="180">K217+M217+O217+Q217</f>
        <v>24</v>
      </c>
      <c r="T217" s="18">
        <f t="shared" si="180"/>
        <v>2279500</v>
      </c>
      <c r="U217" s="27">
        <f>S217/51</f>
        <v>0.47058823529411764</v>
      </c>
      <c r="V217" s="27">
        <f t="shared" si="12"/>
        <v>2.8099998767273579E-2</v>
      </c>
      <c r="W217" s="11"/>
      <c r="X217" s="11"/>
      <c r="Y217" s="11"/>
      <c r="Z217" s="11"/>
      <c r="AA217" s="20" t="s">
        <v>56</v>
      </c>
      <c r="AB217" s="88"/>
      <c r="AC217" s="22"/>
      <c r="AD217" s="44"/>
      <c r="AE217" s="88"/>
    </row>
    <row r="218" spans="1:31" ht="37.5" hidden="1">
      <c r="A218" s="56"/>
      <c r="B218" s="48"/>
      <c r="C218" s="59" t="s">
        <v>410</v>
      </c>
      <c r="D218" s="59" t="s">
        <v>411</v>
      </c>
      <c r="E218" s="20" t="s">
        <v>412</v>
      </c>
      <c r="F218" s="51">
        <v>378926900</v>
      </c>
      <c r="G218" s="59"/>
      <c r="H218" s="59"/>
      <c r="I218" s="20" t="s">
        <v>413</v>
      </c>
      <c r="J218" s="51">
        <v>145423000</v>
      </c>
      <c r="K218" s="61">
        <v>0</v>
      </c>
      <c r="L218" s="41">
        <v>0</v>
      </c>
      <c r="M218" s="20">
        <v>0</v>
      </c>
      <c r="N218" s="82">
        <v>0</v>
      </c>
      <c r="O218" s="86"/>
      <c r="P218" s="86">
        <f>138922700-L218-N218</f>
        <v>138922700</v>
      </c>
      <c r="Q218" s="20"/>
      <c r="R218" s="80"/>
      <c r="S218" s="87">
        <f t="shared" ref="S218:T218" si="181">K218+M218+O218+Q218</f>
        <v>0</v>
      </c>
      <c r="T218" s="18">
        <f t="shared" si="181"/>
        <v>138922700</v>
      </c>
      <c r="U218" s="27">
        <f>S218/1</f>
        <v>0</v>
      </c>
      <c r="V218" s="27">
        <f t="shared" si="12"/>
        <v>0.95530074334871373</v>
      </c>
      <c r="W218" s="11"/>
      <c r="X218" s="11"/>
      <c r="Y218" s="11"/>
      <c r="Z218" s="11"/>
      <c r="AA218" s="20" t="s">
        <v>56</v>
      </c>
      <c r="AB218" s="88"/>
      <c r="AC218" s="22"/>
      <c r="AD218" s="44"/>
      <c r="AE218" s="88"/>
    </row>
    <row r="219" spans="1:31" ht="37.5" hidden="1">
      <c r="A219" s="56"/>
      <c r="B219" s="48"/>
      <c r="C219" s="59" t="s">
        <v>414</v>
      </c>
      <c r="D219" s="59" t="s">
        <v>415</v>
      </c>
      <c r="E219" s="20" t="s">
        <v>312</v>
      </c>
      <c r="F219" s="51">
        <v>6325000000</v>
      </c>
      <c r="G219" s="59"/>
      <c r="H219" s="59"/>
      <c r="I219" s="20" t="s">
        <v>342</v>
      </c>
      <c r="J219" s="51">
        <v>4500000000</v>
      </c>
      <c r="K219" s="61">
        <v>3</v>
      </c>
      <c r="L219" s="41">
        <v>1251944491</v>
      </c>
      <c r="M219" s="20">
        <v>2</v>
      </c>
      <c r="N219" s="82">
        <v>1458666575</v>
      </c>
      <c r="O219" s="86"/>
      <c r="P219" s="86"/>
      <c r="Q219" s="20"/>
      <c r="R219" s="80"/>
      <c r="S219" s="87">
        <f t="shared" ref="S219:T219" si="182">K219+M219+O219+Q219</f>
        <v>5</v>
      </c>
      <c r="T219" s="18">
        <f t="shared" si="182"/>
        <v>2710611066</v>
      </c>
      <c r="U219" s="27">
        <f t="shared" ref="U219:U235" si="183">S219/12</f>
        <v>0.41666666666666669</v>
      </c>
      <c r="V219" s="27">
        <f t="shared" si="12"/>
        <v>0.60235801466666672</v>
      </c>
      <c r="W219" s="11"/>
      <c r="X219" s="11"/>
      <c r="Y219" s="11"/>
      <c r="Z219" s="11"/>
      <c r="AA219" s="20" t="s">
        <v>416</v>
      </c>
      <c r="AB219" s="88"/>
      <c r="AC219" s="22"/>
      <c r="AD219" s="44"/>
      <c r="AE219" s="88"/>
    </row>
    <row r="220" spans="1:31" ht="37.5" hidden="1">
      <c r="A220" s="56"/>
      <c r="B220" s="48"/>
      <c r="C220" s="59" t="s">
        <v>417</v>
      </c>
      <c r="D220" s="59" t="s">
        <v>418</v>
      </c>
      <c r="E220" s="20" t="s">
        <v>419</v>
      </c>
      <c r="F220" s="51">
        <v>400000000</v>
      </c>
      <c r="G220" s="59"/>
      <c r="H220" s="59"/>
      <c r="I220" s="20" t="s">
        <v>312</v>
      </c>
      <c r="J220" s="51">
        <v>155059000</v>
      </c>
      <c r="K220" s="61">
        <v>3</v>
      </c>
      <c r="L220" s="41">
        <v>7044894</v>
      </c>
      <c r="M220" s="20">
        <v>2</v>
      </c>
      <c r="N220" s="82">
        <v>27889368</v>
      </c>
      <c r="O220" s="86"/>
      <c r="P220" s="86"/>
      <c r="Q220" s="20"/>
      <c r="R220" s="80"/>
      <c r="S220" s="87">
        <f t="shared" ref="S220:T220" si="184">K220+M220+O220+Q220</f>
        <v>5</v>
      </c>
      <c r="T220" s="18">
        <f t="shared" si="184"/>
        <v>34934262</v>
      </c>
      <c r="U220" s="27">
        <f t="shared" si="183"/>
        <v>0.41666666666666669</v>
      </c>
      <c r="V220" s="27">
        <f t="shared" si="12"/>
        <v>0.22529657743181628</v>
      </c>
      <c r="W220" s="11"/>
      <c r="X220" s="11"/>
      <c r="Y220" s="11"/>
      <c r="Z220" s="11"/>
      <c r="AA220" s="20" t="s">
        <v>112</v>
      </c>
      <c r="AB220" s="88"/>
      <c r="AC220" s="22"/>
      <c r="AD220" s="44"/>
      <c r="AE220" s="88"/>
    </row>
    <row r="221" spans="1:31" ht="37.5" hidden="1">
      <c r="A221" s="56"/>
      <c r="B221" s="48"/>
      <c r="C221" s="59" t="s">
        <v>420</v>
      </c>
      <c r="D221" s="59" t="s">
        <v>418</v>
      </c>
      <c r="E221" s="20" t="s">
        <v>312</v>
      </c>
      <c r="F221" s="51">
        <v>788898900</v>
      </c>
      <c r="G221" s="59"/>
      <c r="H221" s="59"/>
      <c r="I221" s="20" t="s">
        <v>312</v>
      </c>
      <c r="J221" s="51">
        <v>243527000</v>
      </c>
      <c r="K221" s="61">
        <v>3</v>
      </c>
      <c r="L221" s="41">
        <v>0</v>
      </c>
      <c r="M221" s="20">
        <v>2</v>
      </c>
      <c r="N221" s="82">
        <v>52509000</v>
      </c>
      <c r="O221" s="86"/>
      <c r="P221" s="86"/>
      <c r="Q221" s="20"/>
      <c r="R221" s="80"/>
      <c r="S221" s="87">
        <f t="shared" ref="S221:T221" si="185">K221+M221+O221+Q221</f>
        <v>5</v>
      </c>
      <c r="T221" s="18">
        <f t="shared" si="185"/>
        <v>52509000</v>
      </c>
      <c r="U221" s="27">
        <f t="shared" si="183"/>
        <v>0.41666666666666669</v>
      </c>
      <c r="V221" s="27">
        <f t="shared" si="12"/>
        <v>0.21561880202195238</v>
      </c>
      <c r="W221" s="11"/>
      <c r="X221" s="11"/>
      <c r="Y221" s="11"/>
      <c r="Z221" s="11"/>
      <c r="AA221" s="20" t="s">
        <v>115</v>
      </c>
      <c r="AB221" s="88"/>
      <c r="AC221" s="22"/>
      <c r="AD221" s="44"/>
      <c r="AE221" s="88"/>
    </row>
    <row r="222" spans="1:31" ht="37.5" hidden="1">
      <c r="A222" s="56"/>
      <c r="B222" s="48"/>
      <c r="C222" s="59" t="s">
        <v>421</v>
      </c>
      <c r="D222" s="59" t="s">
        <v>418</v>
      </c>
      <c r="E222" s="20" t="s">
        <v>312</v>
      </c>
      <c r="F222" s="51">
        <v>250000000</v>
      </c>
      <c r="G222" s="59"/>
      <c r="H222" s="59"/>
      <c r="I222" s="20" t="s">
        <v>312</v>
      </c>
      <c r="J222" s="51">
        <v>129110000</v>
      </c>
      <c r="K222" s="61">
        <v>3</v>
      </c>
      <c r="L222" s="41">
        <v>13763391</v>
      </c>
      <c r="M222" s="20">
        <v>2</v>
      </c>
      <c r="N222" s="82">
        <v>11196463</v>
      </c>
      <c r="O222" s="86"/>
      <c r="P222" s="86"/>
      <c r="Q222" s="20"/>
      <c r="R222" s="80"/>
      <c r="S222" s="87">
        <f t="shared" ref="S222:T222" si="186">K222+M222+O222+Q222</f>
        <v>5</v>
      </c>
      <c r="T222" s="18">
        <f t="shared" si="186"/>
        <v>24959854</v>
      </c>
      <c r="U222" s="27">
        <f t="shared" si="183"/>
        <v>0.41666666666666669</v>
      </c>
      <c r="V222" s="27">
        <f t="shared" si="12"/>
        <v>0.19332239175896523</v>
      </c>
      <c r="W222" s="11"/>
      <c r="X222" s="11"/>
      <c r="Y222" s="11"/>
      <c r="Z222" s="11"/>
      <c r="AA222" s="20" t="s">
        <v>118</v>
      </c>
      <c r="AB222" s="88"/>
      <c r="AC222" s="22"/>
      <c r="AD222" s="44"/>
      <c r="AE222" s="88"/>
    </row>
    <row r="223" spans="1:31" ht="37.5" hidden="1">
      <c r="A223" s="56"/>
      <c r="B223" s="48"/>
      <c r="C223" s="59" t="s">
        <v>422</v>
      </c>
      <c r="D223" s="59" t="s">
        <v>418</v>
      </c>
      <c r="E223" s="20" t="s">
        <v>419</v>
      </c>
      <c r="F223" s="51">
        <v>827025000</v>
      </c>
      <c r="G223" s="59"/>
      <c r="H223" s="59"/>
      <c r="I223" s="20" t="s">
        <v>312</v>
      </c>
      <c r="J223" s="51">
        <v>122700000</v>
      </c>
      <c r="K223" s="61">
        <v>3</v>
      </c>
      <c r="L223" s="41">
        <v>9624830</v>
      </c>
      <c r="M223" s="20">
        <v>2</v>
      </c>
      <c r="N223" s="82">
        <v>15271872</v>
      </c>
      <c r="O223" s="86"/>
      <c r="P223" s="86"/>
      <c r="Q223" s="20"/>
      <c r="R223" s="80"/>
      <c r="S223" s="87">
        <f t="shared" ref="S223:T223" si="187">K223+M223+O223+Q223</f>
        <v>5</v>
      </c>
      <c r="T223" s="18">
        <f t="shared" si="187"/>
        <v>24896702</v>
      </c>
      <c r="U223" s="27">
        <f t="shared" si="183"/>
        <v>0.41666666666666669</v>
      </c>
      <c r="V223" s="27">
        <f t="shared" si="12"/>
        <v>0.20290710676446619</v>
      </c>
      <c r="W223" s="11"/>
      <c r="X223" s="11"/>
      <c r="Y223" s="11"/>
      <c r="Z223" s="11"/>
      <c r="AA223" s="20" t="s">
        <v>121</v>
      </c>
      <c r="AB223" s="88"/>
      <c r="AC223" s="22"/>
      <c r="AD223" s="44"/>
      <c r="AE223" s="88"/>
    </row>
    <row r="224" spans="1:31" ht="37.5" hidden="1">
      <c r="A224" s="56"/>
      <c r="B224" s="48"/>
      <c r="C224" s="59" t="s">
        <v>423</v>
      </c>
      <c r="D224" s="59" t="s">
        <v>418</v>
      </c>
      <c r="E224" s="20" t="s">
        <v>312</v>
      </c>
      <c r="F224" s="51">
        <v>200000000</v>
      </c>
      <c r="G224" s="59"/>
      <c r="H224" s="59"/>
      <c r="I224" s="20" t="s">
        <v>312</v>
      </c>
      <c r="J224" s="51">
        <v>116506000</v>
      </c>
      <c r="K224" s="61">
        <v>3</v>
      </c>
      <c r="L224" s="41">
        <v>6724574</v>
      </c>
      <c r="M224" s="20">
        <v>3</v>
      </c>
      <c r="N224" s="82">
        <v>13705590</v>
      </c>
      <c r="O224" s="86"/>
      <c r="P224" s="86"/>
      <c r="Q224" s="20"/>
      <c r="R224" s="80"/>
      <c r="S224" s="87">
        <f t="shared" ref="S224:T224" si="188">K224+M224+O224+Q224</f>
        <v>6</v>
      </c>
      <c r="T224" s="18">
        <f t="shared" si="188"/>
        <v>20430164</v>
      </c>
      <c r="U224" s="27">
        <f t="shared" si="183"/>
        <v>0.5</v>
      </c>
      <c r="V224" s="27">
        <f t="shared" si="12"/>
        <v>0.17535718332103067</v>
      </c>
      <c r="W224" s="11"/>
      <c r="X224" s="11"/>
      <c r="Y224" s="11"/>
      <c r="Z224" s="11"/>
      <c r="AA224" s="20" t="s">
        <v>124</v>
      </c>
      <c r="AB224" s="88"/>
      <c r="AC224" s="22"/>
      <c r="AD224" s="44"/>
      <c r="AE224" s="88"/>
    </row>
    <row r="225" spans="1:31" ht="37.5" hidden="1">
      <c r="A225" s="56"/>
      <c r="B225" s="48"/>
      <c r="C225" s="59" t="s">
        <v>424</v>
      </c>
      <c r="D225" s="59" t="s">
        <v>418</v>
      </c>
      <c r="E225" s="20" t="s">
        <v>312</v>
      </c>
      <c r="F225" s="51">
        <v>776109730</v>
      </c>
      <c r="G225" s="59"/>
      <c r="H225" s="59"/>
      <c r="I225" s="20" t="s">
        <v>312</v>
      </c>
      <c r="J225" s="51">
        <v>95716000</v>
      </c>
      <c r="K225" s="61">
        <v>3</v>
      </c>
      <c r="L225" s="41">
        <v>11582426</v>
      </c>
      <c r="M225" s="20">
        <v>2</v>
      </c>
      <c r="N225" s="82">
        <v>20889256</v>
      </c>
      <c r="O225" s="86"/>
      <c r="P225" s="86"/>
      <c r="Q225" s="20"/>
      <c r="R225" s="80"/>
      <c r="S225" s="87">
        <f t="shared" ref="S225:T225" si="189">K225+M225+O225+Q225</f>
        <v>5</v>
      </c>
      <c r="T225" s="18">
        <f t="shared" si="189"/>
        <v>32471682</v>
      </c>
      <c r="U225" s="27">
        <f t="shared" si="183"/>
        <v>0.41666666666666669</v>
      </c>
      <c r="V225" s="27">
        <f t="shared" si="12"/>
        <v>0.33925030297964814</v>
      </c>
      <c r="W225" s="11"/>
      <c r="X225" s="11"/>
      <c r="Y225" s="11"/>
      <c r="Z225" s="11"/>
      <c r="AA225" s="20" t="s">
        <v>127</v>
      </c>
      <c r="AB225" s="88"/>
      <c r="AC225" s="22"/>
      <c r="AD225" s="44"/>
      <c r="AE225" s="88"/>
    </row>
    <row r="226" spans="1:31" ht="37.5">
      <c r="A226" s="56"/>
      <c r="B226" s="48"/>
      <c r="C226" s="59" t="s">
        <v>425</v>
      </c>
      <c r="D226" s="59" t="s">
        <v>418</v>
      </c>
      <c r="E226" s="20" t="s">
        <v>419</v>
      </c>
      <c r="F226" s="51">
        <v>603322000</v>
      </c>
      <c r="G226" s="59"/>
      <c r="H226" s="59"/>
      <c r="I226" s="20" t="s">
        <v>312</v>
      </c>
      <c r="J226" s="51">
        <v>111202000</v>
      </c>
      <c r="K226" s="61">
        <v>3</v>
      </c>
      <c r="L226" s="41">
        <v>5131950</v>
      </c>
      <c r="M226" s="20">
        <v>3</v>
      </c>
      <c r="N226" s="82">
        <v>12995012</v>
      </c>
      <c r="O226" s="86">
        <v>3</v>
      </c>
      <c r="P226" s="86">
        <v>50963917</v>
      </c>
      <c r="Q226" s="20">
        <v>3</v>
      </c>
      <c r="R226" s="80">
        <v>35511696</v>
      </c>
      <c r="S226" s="87">
        <f t="shared" ref="S226:T226" si="190">K226+M226+O226+Q226</f>
        <v>12</v>
      </c>
      <c r="T226" s="18">
        <f t="shared" si="190"/>
        <v>104602575</v>
      </c>
      <c r="U226" s="27">
        <f t="shared" si="183"/>
        <v>1</v>
      </c>
      <c r="V226" s="27">
        <f t="shared" si="12"/>
        <v>0.94065372025682992</v>
      </c>
      <c r="W226" s="11"/>
      <c r="X226" s="11"/>
      <c r="Y226" s="11"/>
      <c r="Z226" s="11"/>
      <c r="AA226" s="20" t="s">
        <v>130</v>
      </c>
      <c r="AB226" s="88"/>
      <c r="AC226" s="22"/>
      <c r="AD226" s="44"/>
      <c r="AE226" s="88"/>
    </row>
    <row r="227" spans="1:31" ht="37.5" hidden="1">
      <c r="A227" s="56"/>
      <c r="B227" s="48"/>
      <c r="C227" s="59" t="s">
        <v>426</v>
      </c>
      <c r="D227" s="59" t="s">
        <v>418</v>
      </c>
      <c r="E227" s="20" t="s">
        <v>419</v>
      </c>
      <c r="F227" s="51">
        <v>1228506188</v>
      </c>
      <c r="G227" s="59"/>
      <c r="H227" s="59"/>
      <c r="I227" s="20" t="s">
        <v>312</v>
      </c>
      <c r="J227" s="51">
        <v>146092000</v>
      </c>
      <c r="K227" s="61">
        <v>3</v>
      </c>
      <c r="L227" s="41">
        <v>0</v>
      </c>
      <c r="M227" s="20">
        <v>3</v>
      </c>
      <c r="N227" s="82">
        <v>4980000</v>
      </c>
      <c r="O227" s="86"/>
      <c r="P227" s="86"/>
      <c r="Q227" s="20"/>
      <c r="R227" s="80"/>
      <c r="S227" s="87">
        <f t="shared" ref="S227:T227" si="191">K227+M227+O227+Q227</f>
        <v>6</v>
      </c>
      <c r="T227" s="18">
        <f t="shared" si="191"/>
        <v>4980000</v>
      </c>
      <c r="U227" s="27">
        <f t="shared" si="183"/>
        <v>0.5</v>
      </c>
      <c r="V227" s="27">
        <f t="shared" si="12"/>
        <v>3.4088108862908306E-2</v>
      </c>
      <c r="W227" s="11"/>
      <c r="X227" s="11"/>
      <c r="Y227" s="11"/>
      <c r="Z227" s="11"/>
      <c r="AA227" s="20" t="s">
        <v>133</v>
      </c>
      <c r="AB227" s="88"/>
      <c r="AC227" s="22"/>
      <c r="AD227" s="44"/>
      <c r="AE227" s="88"/>
    </row>
    <row r="228" spans="1:31" ht="37.5" hidden="1">
      <c r="A228" s="56"/>
      <c r="B228" s="48"/>
      <c r="C228" s="59" t="s">
        <v>427</v>
      </c>
      <c r="D228" s="59" t="s">
        <v>418</v>
      </c>
      <c r="E228" s="20" t="s">
        <v>419</v>
      </c>
      <c r="F228" s="51">
        <v>200774211</v>
      </c>
      <c r="G228" s="59"/>
      <c r="H228" s="59"/>
      <c r="I228" s="20" t="s">
        <v>312</v>
      </c>
      <c r="J228" s="51">
        <v>185237000</v>
      </c>
      <c r="K228" s="61">
        <v>3</v>
      </c>
      <c r="L228" s="41">
        <v>11093129</v>
      </c>
      <c r="M228" s="20">
        <v>2</v>
      </c>
      <c r="N228" s="82">
        <v>12742000</v>
      </c>
      <c r="O228" s="86"/>
      <c r="P228" s="86"/>
      <c r="Q228" s="20"/>
      <c r="R228" s="80"/>
      <c r="S228" s="87">
        <f t="shared" ref="S228:T228" si="192">K228+M228+O228+Q228</f>
        <v>5</v>
      </c>
      <c r="T228" s="18">
        <f t="shared" si="192"/>
        <v>23835129</v>
      </c>
      <c r="U228" s="27">
        <f t="shared" si="183"/>
        <v>0.41666666666666669</v>
      </c>
      <c r="V228" s="27">
        <f t="shared" si="12"/>
        <v>0.12867369370050261</v>
      </c>
      <c r="W228" s="11"/>
      <c r="X228" s="11"/>
      <c r="Y228" s="11"/>
      <c r="Z228" s="11"/>
      <c r="AA228" s="20" t="s">
        <v>136</v>
      </c>
      <c r="AB228" s="88"/>
      <c r="AC228" s="22"/>
      <c r="AD228" s="44"/>
      <c r="AE228" s="88"/>
    </row>
    <row r="229" spans="1:31" ht="37.5" hidden="1">
      <c r="A229" s="56"/>
      <c r="B229" s="48"/>
      <c r="C229" s="59" t="s">
        <v>428</v>
      </c>
      <c r="D229" s="59" t="s">
        <v>418</v>
      </c>
      <c r="E229" s="20" t="s">
        <v>419</v>
      </c>
      <c r="F229" s="51">
        <v>974639520</v>
      </c>
      <c r="G229" s="59"/>
      <c r="H229" s="59"/>
      <c r="I229" s="20" t="s">
        <v>342</v>
      </c>
      <c r="J229" s="51">
        <v>99210000</v>
      </c>
      <c r="K229" s="61">
        <v>3</v>
      </c>
      <c r="L229" s="41">
        <v>12010220</v>
      </c>
      <c r="M229" s="20">
        <v>2</v>
      </c>
      <c r="N229" s="82">
        <v>12443996</v>
      </c>
      <c r="O229" s="86"/>
      <c r="P229" s="86"/>
      <c r="Q229" s="20"/>
      <c r="R229" s="80"/>
      <c r="S229" s="87">
        <f t="shared" ref="S229:T229" si="193">K229+M229+O229+Q229</f>
        <v>5</v>
      </c>
      <c r="T229" s="18">
        <f t="shared" si="193"/>
        <v>24454216</v>
      </c>
      <c r="U229" s="27">
        <f t="shared" si="183"/>
        <v>0.41666666666666669</v>
      </c>
      <c r="V229" s="27">
        <f t="shared" si="12"/>
        <v>0.24648942646910593</v>
      </c>
      <c r="W229" s="11"/>
      <c r="X229" s="11"/>
      <c r="Y229" s="11"/>
      <c r="Z229" s="11"/>
      <c r="AA229" s="20" t="s">
        <v>139</v>
      </c>
      <c r="AB229" s="88"/>
      <c r="AC229" s="22"/>
      <c r="AD229" s="44"/>
      <c r="AE229" s="88"/>
    </row>
    <row r="230" spans="1:31" ht="37.5" hidden="1">
      <c r="A230" s="56"/>
      <c r="B230" s="48"/>
      <c r="C230" s="59" t="s">
        <v>429</v>
      </c>
      <c r="D230" s="59" t="s">
        <v>418</v>
      </c>
      <c r="E230" s="20" t="s">
        <v>419</v>
      </c>
      <c r="F230" s="51">
        <v>152071590</v>
      </c>
      <c r="G230" s="59"/>
      <c r="H230" s="59"/>
      <c r="I230" s="20" t="s">
        <v>312</v>
      </c>
      <c r="J230" s="51">
        <v>145438000</v>
      </c>
      <c r="K230" s="61">
        <v>3</v>
      </c>
      <c r="L230" s="41">
        <v>10657770</v>
      </c>
      <c r="M230" s="20">
        <v>2</v>
      </c>
      <c r="N230" s="82">
        <v>9220335</v>
      </c>
      <c r="O230" s="86"/>
      <c r="P230" s="86"/>
      <c r="Q230" s="20"/>
      <c r="R230" s="80"/>
      <c r="S230" s="87">
        <f t="shared" ref="S230:T230" si="194">K230+M230+O230+Q230</f>
        <v>5</v>
      </c>
      <c r="T230" s="18">
        <f t="shared" si="194"/>
        <v>19878105</v>
      </c>
      <c r="U230" s="27">
        <f t="shared" si="183"/>
        <v>0.41666666666666669</v>
      </c>
      <c r="V230" s="27">
        <f t="shared" si="12"/>
        <v>0.13667751894277974</v>
      </c>
      <c r="W230" s="11"/>
      <c r="X230" s="11"/>
      <c r="Y230" s="11"/>
      <c r="Z230" s="11"/>
      <c r="AA230" s="20" t="s">
        <v>142</v>
      </c>
      <c r="AB230" s="88"/>
      <c r="AC230" s="22"/>
      <c r="AD230" s="44"/>
      <c r="AE230" s="88"/>
    </row>
    <row r="231" spans="1:31" ht="37.5" hidden="1">
      <c r="A231" s="56"/>
      <c r="B231" s="48"/>
      <c r="C231" s="59" t="s">
        <v>430</v>
      </c>
      <c r="D231" s="59" t="s">
        <v>418</v>
      </c>
      <c r="E231" s="20" t="s">
        <v>419</v>
      </c>
      <c r="F231" s="51">
        <v>715250700</v>
      </c>
      <c r="G231" s="59"/>
      <c r="H231" s="59"/>
      <c r="I231" s="20" t="s">
        <v>312</v>
      </c>
      <c r="J231" s="51">
        <v>141196000</v>
      </c>
      <c r="K231" s="61">
        <v>3</v>
      </c>
      <c r="L231" s="41">
        <v>12244686</v>
      </c>
      <c r="M231" s="20">
        <v>2</v>
      </c>
      <c r="N231" s="82">
        <v>8768544</v>
      </c>
      <c r="O231" s="86"/>
      <c r="P231" s="86"/>
      <c r="Q231" s="20"/>
      <c r="R231" s="80"/>
      <c r="S231" s="87">
        <f t="shared" ref="S231:T231" si="195">K231+M231+O231+Q231</f>
        <v>5</v>
      </c>
      <c r="T231" s="18">
        <f t="shared" si="195"/>
        <v>21013230</v>
      </c>
      <c r="U231" s="27">
        <f t="shared" si="183"/>
        <v>0.41666666666666669</v>
      </c>
      <c r="V231" s="27">
        <f t="shared" si="12"/>
        <v>0.14882312530100003</v>
      </c>
      <c r="W231" s="11"/>
      <c r="X231" s="11"/>
      <c r="Y231" s="11"/>
      <c r="Z231" s="11"/>
      <c r="AA231" s="20" t="s">
        <v>145</v>
      </c>
      <c r="AB231" s="88"/>
      <c r="AC231" s="22"/>
      <c r="AD231" s="44"/>
      <c r="AE231" s="88"/>
    </row>
    <row r="232" spans="1:31" ht="37.5" hidden="1">
      <c r="A232" s="56"/>
      <c r="B232" s="48"/>
      <c r="C232" s="59" t="s">
        <v>431</v>
      </c>
      <c r="D232" s="59" t="s">
        <v>418</v>
      </c>
      <c r="E232" s="20" t="s">
        <v>419</v>
      </c>
      <c r="F232" s="51">
        <v>484000000</v>
      </c>
      <c r="G232" s="59"/>
      <c r="H232" s="59"/>
      <c r="I232" s="20" t="s">
        <v>312</v>
      </c>
      <c r="J232" s="51">
        <v>157550000</v>
      </c>
      <c r="K232" s="61">
        <v>3</v>
      </c>
      <c r="L232" s="41">
        <v>10242520</v>
      </c>
      <c r="M232" s="20">
        <v>2</v>
      </c>
      <c r="N232" s="82">
        <v>14049678</v>
      </c>
      <c r="O232" s="86"/>
      <c r="P232" s="86"/>
      <c r="Q232" s="20"/>
      <c r="R232" s="80"/>
      <c r="S232" s="87">
        <f t="shared" ref="S232:T232" si="196">K232+M232+O232+Q232</f>
        <v>5</v>
      </c>
      <c r="T232" s="18">
        <f t="shared" si="196"/>
        <v>24292198</v>
      </c>
      <c r="U232" s="27">
        <f t="shared" si="183"/>
        <v>0.41666666666666669</v>
      </c>
      <c r="V232" s="27">
        <f t="shared" si="12"/>
        <v>0.15418722945096794</v>
      </c>
      <c r="W232" s="11"/>
      <c r="X232" s="11"/>
      <c r="Y232" s="11"/>
      <c r="Z232" s="11"/>
      <c r="AA232" s="20" t="s">
        <v>148</v>
      </c>
      <c r="AB232" s="88"/>
      <c r="AC232" s="22"/>
      <c r="AD232" s="44"/>
      <c r="AE232" s="88"/>
    </row>
    <row r="233" spans="1:31" ht="37.5" hidden="1">
      <c r="A233" s="56"/>
      <c r="B233" s="48"/>
      <c r="C233" s="59" t="s">
        <v>432</v>
      </c>
      <c r="D233" s="59" t="s">
        <v>418</v>
      </c>
      <c r="E233" s="20" t="s">
        <v>419</v>
      </c>
      <c r="F233" s="51">
        <v>188203400</v>
      </c>
      <c r="G233" s="59"/>
      <c r="H233" s="59"/>
      <c r="I233" s="20" t="s">
        <v>312</v>
      </c>
      <c r="J233" s="51">
        <v>124316000</v>
      </c>
      <c r="K233" s="61">
        <v>3</v>
      </c>
      <c r="L233" s="41">
        <v>6913922</v>
      </c>
      <c r="M233" s="20">
        <v>2</v>
      </c>
      <c r="N233" s="82">
        <v>4210500</v>
      </c>
      <c r="O233" s="86"/>
      <c r="P233" s="86"/>
      <c r="Q233" s="20"/>
      <c r="R233" s="80"/>
      <c r="S233" s="87">
        <f t="shared" ref="S233:T233" si="197">K233+M233+O233+Q233</f>
        <v>5</v>
      </c>
      <c r="T233" s="18">
        <f t="shared" si="197"/>
        <v>11124422</v>
      </c>
      <c r="U233" s="27">
        <f t="shared" si="183"/>
        <v>0.41666666666666669</v>
      </c>
      <c r="V233" s="27">
        <f t="shared" si="12"/>
        <v>8.9485038128639921E-2</v>
      </c>
      <c r="W233" s="11"/>
      <c r="X233" s="11"/>
      <c r="Y233" s="11"/>
      <c r="Z233" s="11"/>
      <c r="AA233" s="20" t="s">
        <v>151</v>
      </c>
      <c r="AB233" s="88"/>
      <c r="AC233" s="22"/>
      <c r="AD233" s="44"/>
      <c r="AE233" s="88"/>
    </row>
    <row r="234" spans="1:31" ht="37.5" hidden="1">
      <c r="A234" s="56"/>
      <c r="B234" s="48"/>
      <c r="C234" s="59" t="s">
        <v>433</v>
      </c>
      <c r="D234" s="59" t="s">
        <v>418</v>
      </c>
      <c r="E234" s="20" t="s">
        <v>419</v>
      </c>
      <c r="F234" s="51">
        <v>550000000</v>
      </c>
      <c r="G234" s="59"/>
      <c r="H234" s="59"/>
      <c r="I234" s="20" t="s">
        <v>312</v>
      </c>
      <c r="J234" s="51">
        <v>139217200</v>
      </c>
      <c r="K234" s="61">
        <v>3</v>
      </c>
      <c r="L234" s="41">
        <v>4627055</v>
      </c>
      <c r="M234" s="20">
        <v>2</v>
      </c>
      <c r="N234" s="82">
        <v>8797160</v>
      </c>
      <c r="O234" s="86"/>
      <c r="P234" s="86"/>
      <c r="Q234" s="20"/>
      <c r="R234" s="80"/>
      <c r="S234" s="87">
        <f t="shared" ref="S234:T234" si="198">K234+M234+O234+Q234</f>
        <v>5</v>
      </c>
      <c r="T234" s="18">
        <f t="shared" si="198"/>
        <v>13424215</v>
      </c>
      <c r="U234" s="27">
        <f t="shared" si="183"/>
        <v>0.41666666666666669</v>
      </c>
      <c r="V234" s="27">
        <f t="shared" si="12"/>
        <v>9.642641139169586E-2</v>
      </c>
      <c r="W234" s="11"/>
      <c r="X234" s="11"/>
      <c r="Y234" s="11"/>
      <c r="Z234" s="11"/>
      <c r="AA234" s="20" t="s">
        <v>154</v>
      </c>
      <c r="AB234" s="88"/>
      <c r="AC234" s="22"/>
      <c r="AD234" s="44"/>
      <c r="AE234" s="88"/>
    </row>
    <row r="235" spans="1:31" ht="37.5" hidden="1">
      <c r="A235" s="56"/>
      <c r="B235" s="48"/>
      <c r="C235" s="59" t="s">
        <v>434</v>
      </c>
      <c r="D235" s="59" t="s">
        <v>418</v>
      </c>
      <c r="E235" s="20" t="s">
        <v>419</v>
      </c>
      <c r="F235" s="51">
        <v>329500000</v>
      </c>
      <c r="G235" s="59"/>
      <c r="H235" s="59"/>
      <c r="I235" s="20" t="s">
        <v>312</v>
      </c>
      <c r="J235" s="51">
        <v>175178000</v>
      </c>
      <c r="K235" s="61">
        <v>3</v>
      </c>
      <c r="L235" s="41">
        <v>13278616</v>
      </c>
      <c r="M235" s="20">
        <v>2</v>
      </c>
      <c r="N235" s="82">
        <v>7864400</v>
      </c>
      <c r="O235" s="86"/>
      <c r="P235" s="86"/>
      <c r="Q235" s="20"/>
      <c r="R235" s="80"/>
      <c r="S235" s="87">
        <f t="shared" ref="S235:T235" si="199">K235+M235+O235+Q235</f>
        <v>5</v>
      </c>
      <c r="T235" s="18">
        <f t="shared" si="199"/>
        <v>21143016</v>
      </c>
      <c r="U235" s="27">
        <f t="shared" si="183"/>
        <v>0.41666666666666669</v>
      </c>
      <c r="V235" s="27">
        <f t="shared" si="12"/>
        <v>0.12069447076687712</v>
      </c>
      <c r="W235" s="11"/>
      <c r="X235" s="11"/>
      <c r="Y235" s="11"/>
      <c r="Z235" s="11"/>
      <c r="AA235" s="20" t="s">
        <v>157</v>
      </c>
      <c r="AB235" s="88"/>
      <c r="AC235" s="22"/>
      <c r="AD235" s="44"/>
      <c r="AE235" s="88"/>
    </row>
    <row r="236" spans="1:31" ht="37.5" hidden="1">
      <c r="A236" s="56"/>
      <c r="B236" s="48"/>
      <c r="C236" s="59" t="s">
        <v>435</v>
      </c>
      <c r="D236" s="59" t="s">
        <v>436</v>
      </c>
      <c r="E236" s="20"/>
      <c r="F236" s="51"/>
      <c r="G236" s="59"/>
      <c r="H236" s="59"/>
      <c r="I236" s="20" t="s">
        <v>437</v>
      </c>
      <c r="J236" s="51">
        <v>12531000</v>
      </c>
      <c r="K236" s="61">
        <v>0</v>
      </c>
      <c r="L236" s="41">
        <v>0</v>
      </c>
      <c r="M236" s="20">
        <v>0</v>
      </c>
      <c r="N236" s="82">
        <v>0</v>
      </c>
      <c r="O236" s="86"/>
      <c r="P236" s="86">
        <v>0</v>
      </c>
      <c r="Q236" s="20"/>
      <c r="R236" s="80"/>
      <c r="S236" s="87">
        <f t="shared" ref="S236:T236" si="200">K236+M236+O236+Q236</f>
        <v>0</v>
      </c>
      <c r="T236" s="18">
        <f t="shared" si="200"/>
        <v>0</v>
      </c>
      <c r="U236" s="27">
        <f>S236/1</f>
        <v>0</v>
      </c>
      <c r="V236" s="27">
        <f t="shared" si="12"/>
        <v>0</v>
      </c>
      <c r="W236" s="11"/>
      <c r="X236" s="11"/>
      <c r="Y236" s="11"/>
      <c r="Z236" s="11"/>
      <c r="AA236" s="20" t="s">
        <v>56</v>
      </c>
      <c r="AB236" s="88"/>
      <c r="AC236" s="22"/>
      <c r="AD236" s="44"/>
      <c r="AE236" s="88"/>
    </row>
    <row r="237" spans="1:31" ht="37.5" hidden="1">
      <c r="A237" s="56"/>
      <c r="B237" s="48"/>
      <c r="C237" s="59" t="s">
        <v>438</v>
      </c>
      <c r="D237" s="59" t="s">
        <v>436</v>
      </c>
      <c r="E237" s="20" t="s">
        <v>419</v>
      </c>
      <c r="F237" s="51">
        <v>1500344672</v>
      </c>
      <c r="G237" s="59"/>
      <c r="H237" s="59"/>
      <c r="I237" s="20" t="s">
        <v>312</v>
      </c>
      <c r="J237" s="51">
        <v>755080755</v>
      </c>
      <c r="K237" s="61">
        <v>3</v>
      </c>
      <c r="L237" s="41">
        <v>15996000</v>
      </c>
      <c r="M237" s="20">
        <v>3</v>
      </c>
      <c r="N237" s="82">
        <f>53222135-L237</f>
        <v>37226135</v>
      </c>
      <c r="O237" s="86"/>
      <c r="P237" s="86">
        <f>183694697-L237-N237</f>
        <v>130472562</v>
      </c>
      <c r="Q237" s="20"/>
      <c r="R237" s="80"/>
      <c r="S237" s="87">
        <f t="shared" ref="S237:T237" si="201">K237+M237+O237+Q237</f>
        <v>6</v>
      </c>
      <c r="T237" s="18">
        <f t="shared" si="201"/>
        <v>183694697</v>
      </c>
      <c r="U237" s="27">
        <f t="shared" ref="U237:U238" si="202">S237/12</f>
        <v>0.5</v>
      </c>
      <c r="V237" s="27">
        <f t="shared" si="12"/>
        <v>0.24327821333494323</v>
      </c>
      <c r="W237" s="11"/>
      <c r="X237" s="11"/>
      <c r="Y237" s="11"/>
      <c r="Z237" s="11"/>
      <c r="AA237" s="20" t="s">
        <v>62</v>
      </c>
      <c r="AB237" s="88"/>
      <c r="AC237" s="22"/>
      <c r="AD237" s="44"/>
      <c r="AE237" s="88"/>
    </row>
    <row r="238" spans="1:31" ht="37.5" hidden="1">
      <c r="A238" s="56"/>
      <c r="B238" s="48"/>
      <c r="C238" s="59" t="s">
        <v>439</v>
      </c>
      <c r="D238" s="59" t="s">
        <v>436</v>
      </c>
      <c r="E238" s="20"/>
      <c r="F238" s="51"/>
      <c r="G238" s="59"/>
      <c r="H238" s="59"/>
      <c r="I238" s="20" t="s">
        <v>312</v>
      </c>
      <c r="J238" s="51">
        <v>2344000</v>
      </c>
      <c r="K238" s="61">
        <v>3</v>
      </c>
      <c r="L238" s="41">
        <v>0</v>
      </c>
      <c r="M238" s="20">
        <v>2</v>
      </c>
      <c r="N238" s="82">
        <v>0</v>
      </c>
      <c r="O238" s="86"/>
      <c r="P238" s="86"/>
      <c r="Q238" s="20"/>
      <c r="R238" s="80"/>
      <c r="S238" s="87">
        <f t="shared" ref="S238:T238" si="203">K238+M238+O238+Q238</f>
        <v>5</v>
      </c>
      <c r="T238" s="18">
        <f t="shared" si="203"/>
        <v>0</v>
      </c>
      <c r="U238" s="27">
        <f t="shared" si="202"/>
        <v>0.41666666666666669</v>
      </c>
      <c r="V238" s="27">
        <f t="shared" si="12"/>
        <v>0</v>
      </c>
      <c r="W238" s="11"/>
      <c r="X238" s="11"/>
      <c r="Y238" s="11"/>
      <c r="Z238" s="11"/>
      <c r="AA238" s="20" t="s">
        <v>112</v>
      </c>
      <c r="AB238" s="88"/>
      <c r="AC238" s="22"/>
      <c r="AD238" s="44"/>
      <c r="AE238" s="88"/>
    </row>
    <row r="239" spans="1:31" ht="50" hidden="1">
      <c r="A239" s="56"/>
      <c r="B239" s="48"/>
      <c r="C239" s="59" t="s">
        <v>440</v>
      </c>
      <c r="D239" s="59" t="s">
        <v>436</v>
      </c>
      <c r="E239" s="20"/>
      <c r="F239" s="51"/>
      <c r="G239" s="59"/>
      <c r="H239" s="59"/>
      <c r="I239" s="20" t="s">
        <v>355</v>
      </c>
      <c r="J239" s="51">
        <v>2634000</v>
      </c>
      <c r="K239" s="61">
        <v>0</v>
      </c>
      <c r="L239" s="41">
        <v>0</v>
      </c>
      <c r="M239" s="20">
        <v>0</v>
      </c>
      <c r="N239" s="82">
        <v>0</v>
      </c>
      <c r="O239" s="86"/>
      <c r="P239" s="86"/>
      <c r="Q239" s="20"/>
      <c r="R239" s="80"/>
      <c r="S239" s="87">
        <f t="shared" ref="S239:T239" si="204">K239+M239+O239+Q239</f>
        <v>0</v>
      </c>
      <c r="T239" s="18">
        <f t="shared" si="204"/>
        <v>0</v>
      </c>
      <c r="U239" s="27">
        <f>S239/2</f>
        <v>0</v>
      </c>
      <c r="V239" s="27">
        <f t="shared" si="12"/>
        <v>0</v>
      </c>
      <c r="W239" s="11"/>
      <c r="X239" s="11"/>
      <c r="Y239" s="11"/>
      <c r="Z239" s="11"/>
      <c r="AA239" s="20" t="s">
        <v>115</v>
      </c>
      <c r="AB239" s="88"/>
      <c r="AC239" s="22"/>
      <c r="AD239" s="44"/>
      <c r="AE239" s="88"/>
    </row>
    <row r="240" spans="1:31" ht="50" hidden="1">
      <c r="A240" s="56"/>
      <c r="B240" s="48"/>
      <c r="C240" s="59" t="s">
        <v>441</v>
      </c>
      <c r="D240" s="59" t="s">
        <v>436</v>
      </c>
      <c r="E240" s="20"/>
      <c r="F240" s="51"/>
      <c r="G240" s="59"/>
      <c r="H240" s="59"/>
      <c r="I240" s="20" t="s">
        <v>337</v>
      </c>
      <c r="J240" s="51">
        <v>2552000</v>
      </c>
      <c r="K240" s="61">
        <v>1</v>
      </c>
      <c r="L240" s="41">
        <v>0</v>
      </c>
      <c r="M240" s="20">
        <v>1</v>
      </c>
      <c r="N240" s="82">
        <v>1276000</v>
      </c>
      <c r="O240" s="86"/>
      <c r="P240" s="86"/>
      <c r="Q240" s="20"/>
      <c r="R240" s="80"/>
      <c r="S240" s="87">
        <f t="shared" ref="S240:T240" si="205">K240+M240+O240+Q240</f>
        <v>2</v>
      </c>
      <c r="T240" s="18">
        <f t="shared" si="205"/>
        <v>1276000</v>
      </c>
      <c r="U240" s="27">
        <f>S240/4</f>
        <v>0.5</v>
      </c>
      <c r="V240" s="27">
        <f t="shared" si="12"/>
        <v>0.5</v>
      </c>
      <c r="W240" s="11"/>
      <c r="X240" s="11"/>
      <c r="Y240" s="11"/>
      <c r="Z240" s="11"/>
      <c r="AA240" s="20" t="s">
        <v>118</v>
      </c>
      <c r="AB240" s="88"/>
      <c r="AC240" s="22"/>
      <c r="AD240" s="44"/>
      <c r="AE240" s="88"/>
    </row>
    <row r="241" spans="1:31" ht="50" hidden="1">
      <c r="A241" s="56"/>
      <c r="B241" s="48"/>
      <c r="C241" s="59" t="s">
        <v>442</v>
      </c>
      <c r="D241" s="59" t="s">
        <v>436</v>
      </c>
      <c r="E241" s="20"/>
      <c r="F241" s="51"/>
      <c r="G241" s="59"/>
      <c r="H241" s="59"/>
      <c r="I241" s="20" t="s">
        <v>312</v>
      </c>
      <c r="J241" s="51">
        <v>8419000</v>
      </c>
      <c r="K241" s="61">
        <v>3</v>
      </c>
      <c r="L241" s="41">
        <v>0</v>
      </c>
      <c r="M241" s="20">
        <v>2</v>
      </c>
      <c r="N241" s="82">
        <v>2144000</v>
      </c>
      <c r="O241" s="86"/>
      <c r="P241" s="86"/>
      <c r="Q241" s="20"/>
      <c r="R241" s="80"/>
      <c r="S241" s="87">
        <f t="shared" ref="S241:T241" si="206">K241+M241+O241+Q241</f>
        <v>5</v>
      </c>
      <c r="T241" s="18">
        <f t="shared" si="206"/>
        <v>2144000</v>
      </c>
      <c r="U241" s="27">
        <f>S241/12</f>
        <v>0.41666666666666669</v>
      </c>
      <c r="V241" s="27">
        <f t="shared" si="12"/>
        <v>0.25466207388050838</v>
      </c>
      <c r="W241" s="11"/>
      <c r="X241" s="11"/>
      <c r="Y241" s="11"/>
      <c r="Z241" s="11"/>
      <c r="AA241" s="20" t="s">
        <v>121</v>
      </c>
      <c r="AB241" s="88"/>
      <c r="AC241" s="22"/>
      <c r="AD241" s="44"/>
      <c r="AE241" s="88"/>
    </row>
    <row r="242" spans="1:31" ht="50" hidden="1">
      <c r="A242" s="56"/>
      <c r="B242" s="48"/>
      <c r="C242" s="59" t="s">
        <v>443</v>
      </c>
      <c r="D242" s="59" t="s">
        <v>436</v>
      </c>
      <c r="E242" s="20"/>
      <c r="F242" s="51"/>
      <c r="G242" s="59"/>
      <c r="H242" s="59"/>
      <c r="I242" s="20" t="s">
        <v>444</v>
      </c>
      <c r="J242" s="51">
        <v>660000</v>
      </c>
      <c r="K242" s="61">
        <v>2</v>
      </c>
      <c r="L242" s="41">
        <v>0</v>
      </c>
      <c r="M242" s="20">
        <v>2</v>
      </c>
      <c r="N242" s="82">
        <v>0</v>
      </c>
      <c r="O242" s="86"/>
      <c r="P242" s="86"/>
      <c r="Q242" s="20"/>
      <c r="R242" s="80"/>
      <c r="S242" s="87">
        <f t="shared" ref="S242:T242" si="207">K242+M242+O242+Q242</f>
        <v>4</v>
      </c>
      <c r="T242" s="18">
        <f t="shared" si="207"/>
        <v>0</v>
      </c>
      <c r="U242" s="27">
        <f>S242/6</f>
        <v>0.66666666666666663</v>
      </c>
      <c r="V242" s="27">
        <f t="shared" si="12"/>
        <v>0</v>
      </c>
      <c r="W242" s="11"/>
      <c r="X242" s="11"/>
      <c r="Y242" s="11"/>
      <c r="Z242" s="11"/>
      <c r="AA242" s="20" t="s">
        <v>124</v>
      </c>
      <c r="AB242" s="88"/>
      <c r="AC242" s="22"/>
      <c r="AD242" s="44"/>
      <c r="AE242" s="88"/>
    </row>
    <row r="243" spans="1:31" ht="50" hidden="1">
      <c r="A243" s="56"/>
      <c r="B243" s="48"/>
      <c r="C243" s="59" t="s">
        <v>445</v>
      </c>
      <c r="D243" s="59" t="s">
        <v>436</v>
      </c>
      <c r="E243" s="20"/>
      <c r="F243" s="51"/>
      <c r="G243" s="59"/>
      <c r="H243" s="59"/>
      <c r="I243" s="20" t="s">
        <v>312</v>
      </c>
      <c r="J243" s="51">
        <v>2010000</v>
      </c>
      <c r="K243" s="61">
        <v>3</v>
      </c>
      <c r="L243" s="41">
        <v>0</v>
      </c>
      <c r="M243" s="20">
        <v>2</v>
      </c>
      <c r="N243" s="82">
        <v>0</v>
      </c>
      <c r="O243" s="86"/>
      <c r="P243" s="86"/>
      <c r="Q243" s="20"/>
      <c r="R243" s="80"/>
      <c r="S243" s="87">
        <f t="shared" ref="S243:T243" si="208">K243+M243+O243+Q243</f>
        <v>5</v>
      </c>
      <c r="T243" s="18">
        <f t="shared" si="208"/>
        <v>0</v>
      </c>
      <c r="U243" s="27">
        <f t="shared" ref="U243:U244" si="209">S243/12</f>
        <v>0.41666666666666669</v>
      </c>
      <c r="V243" s="27">
        <f t="shared" si="12"/>
        <v>0</v>
      </c>
      <c r="W243" s="11"/>
      <c r="X243" s="11"/>
      <c r="Y243" s="11"/>
      <c r="Z243" s="11"/>
      <c r="AA243" s="20" t="s">
        <v>127</v>
      </c>
      <c r="AB243" s="88"/>
      <c r="AC243" s="22"/>
      <c r="AD243" s="44"/>
      <c r="AE243" s="88"/>
    </row>
    <row r="244" spans="1:31" ht="50">
      <c r="A244" s="56"/>
      <c r="B244" s="48"/>
      <c r="C244" s="59" t="s">
        <v>446</v>
      </c>
      <c r="D244" s="59" t="s">
        <v>436</v>
      </c>
      <c r="E244" s="20"/>
      <c r="F244" s="51"/>
      <c r="G244" s="59"/>
      <c r="H244" s="59"/>
      <c r="I244" s="20" t="s">
        <v>312</v>
      </c>
      <c r="J244" s="51">
        <v>15075000</v>
      </c>
      <c r="K244" s="61">
        <v>3</v>
      </c>
      <c r="L244" s="41">
        <v>0</v>
      </c>
      <c r="M244" s="20">
        <v>3</v>
      </c>
      <c r="N244" s="82">
        <v>0</v>
      </c>
      <c r="O244" s="86">
        <v>3</v>
      </c>
      <c r="P244" s="86">
        <v>3015000</v>
      </c>
      <c r="Q244" s="20">
        <v>3</v>
      </c>
      <c r="R244" s="80">
        <v>9045000</v>
      </c>
      <c r="S244" s="87">
        <f t="shared" ref="S244:T244" si="210">K244+M244+O244+Q244</f>
        <v>12</v>
      </c>
      <c r="T244" s="18">
        <f t="shared" si="210"/>
        <v>12060000</v>
      </c>
      <c r="U244" s="27">
        <f t="shared" si="209"/>
        <v>1</v>
      </c>
      <c r="V244" s="27">
        <f t="shared" si="12"/>
        <v>0.8</v>
      </c>
      <c r="W244" s="11"/>
      <c r="X244" s="11"/>
      <c r="Y244" s="11"/>
      <c r="Z244" s="11"/>
      <c r="AA244" s="20" t="s">
        <v>130</v>
      </c>
      <c r="AB244" s="88"/>
      <c r="AC244" s="22"/>
      <c r="AD244" s="44"/>
      <c r="AE244" s="88"/>
    </row>
    <row r="245" spans="1:31" ht="50" hidden="1">
      <c r="A245" s="56"/>
      <c r="B245" s="48"/>
      <c r="C245" s="59" t="s">
        <v>447</v>
      </c>
      <c r="D245" s="59" t="s">
        <v>436</v>
      </c>
      <c r="E245" s="20"/>
      <c r="F245" s="51"/>
      <c r="G245" s="59"/>
      <c r="H245" s="59"/>
      <c r="I245" s="20" t="s">
        <v>355</v>
      </c>
      <c r="J245" s="51">
        <v>4200000</v>
      </c>
      <c r="K245" s="61">
        <v>1</v>
      </c>
      <c r="L245" s="41">
        <v>0</v>
      </c>
      <c r="M245" s="20">
        <v>1</v>
      </c>
      <c r="N245" s="82">
        <v>0</v>
      </c>
      <c r="O245" s="86"/>
      <c r="P245" s="86"/>
      <c r="Q245" s="20"/>
      <c r="R245" s="80"/>
      <c r="S245" s="87">
        <f t="shared" ref="S245:T245" si="211">K245+M245+O245+Q245</f>
        <v>2</v>
      </c>
      <c r="T245" s="18">
        <f t="shared" si="211"/>
        <v>0</v>
      </c>
      <c r="U245" s="27">
        <f>S245/2</f>
        <v>1</v>
      </c>
      <c r="V245" s="27">
        <f t="shared" si="12"/>
        <v>0</v>
      </c>
      <c r="W245" s="11"/>
      <c r="X245" s="11"/>
      <c r="Y245" s="11"/>
      <c r="Z245" s="11"/>
      <c r="AA245" s="20" t="s">
        <v>133</v>
      </c>
      <c r="AB245" s="88"/>
      <c r="AC245" s="22"/>
      <c r="AD245" s="44"/>
      <c r="AE245" s="88"/>
    </row>
    <row r="246" spans="1:31" ht="50" hidden="1">
      <c r="A246" s="56"/>
      <c r="B246" s="48"/>
      <c r="C246" s="59" t="s">
        <v>448</v>
      </c>
      <c r="D246" s="59" t="s">
        <v>436</v>
      </c>
      <c r="E246" s="20"/>
      <c r="F246" s="51"/>
      <c r="G246" s="59"/>
      <c r="H246" s="59"/>
      <c r="I246" s="20" t="s">
        <v>312</v>
      </c>
      <c r="J246" s="51">
        <v>3151000</v>
      </c>
      <c r="K246" s="61">
        <v>3</v>
      </c>
      <c r="L246" s="41">
        <v>0</v>
      </c>
      <c r="M246" s="20">
        <v>2</v>
      </c>
      <c r="N246" s="82">
        <v>0</v>
      </c>
      <c r="O246" s="86"/>
      <c r="P246" s="86"/>
      <c r="Q246" s="20"/>
      <c r="R246" s="80"/>
      <c r="S246" s="87">
        <f t="shared" ref="S246:T246" si="212">K246+M246+O246+Q246</f>
        <v>5</v>
      </c>
      <c r="T246" s="18">
        <f t="shared" si="212"/>
        <v>0</v>
      </c>
      <c r="U246" s="27">
        <f>S246/12</f>
        <v>0.41666666666666669</v>
      </c>
      <c r="V246" s="27">
        <f t="shared" si="12"/>
        <v>0</v>
      </c>
      <c r="W246" s="11"/>
      <c r="X246" s="11"/>
      <c r="Y246" s="11"/>
      <c r="Z246" s="11"/>
      <c r="AA246" s="20" t="s">
        <v>136</v>
      </c>
      <c r="AB246" s="88"/>
      <c r="AC246" s="22"/>
      <c r="AD246" s="44"/>
      <c r="AE246" s="88"/>
    </row>
    <row r="247" spans="1:31" ht="50" hidden="1">
      <c r="A247" s="56"/>
      <c r="B247" s="48"/>
      <c r="C247" s="59" t="s">
        <v>449</v>
      </c>
      <c r="D247" s="59" t="s">
        <v>436</v>
      </c>
      <c r="E247" s="20"/>
      <c r="F247" s="51"/>
      <c r="G247" s="59"/>
      <c r="H247" s="59"/>
      <c r="I247" s="20" t="s">
        <v>361</v>
      </c>
      <c r="J247" s="51">
        <v>1474000</v>
      </c>
      <c r="K247" s="61">
        <v>0</v>
      </c>
      <c r="L247" s="41">
        <v>0</v>
      </c>
      <c r="M247" s="20">
        <v>1</v>
      </c>
      <c r="N247" s="82">
        <v>721000</v>
      </c>
      <c r="O247" s="86"/>
      <c r="P247" s="86"/>
      <c r="Q247" s="20"/>
      <c r="R247" s="80"/>
      <c r="S247" s="87">
        <f t="shared" ref="S247:T247" si="213">K247+M247+O247+Q247</f>
        <v>1</v>
      </c>
      <c r="T247" s="18">
        <f t="shared" si="213"/>
        <v>721000</v>
      </c>
      <c r="U247" s="27">
        <f>S247/2</f>
        <v>0.5</v>
      </c>
      <c r="V247" s="27">
        <f t="shared" si="12"/>
        <v>0.48914518317503392</v>
      </c>
      <c r="W247" s="11"/>
      <c r="X247" s="11"/>
      <c r="Y247" s="11"/>
      <c r="Z247" s="11"/>
      <c r="AA247" s="20" t="s">
        <v>139</v>
      </c>
      <c r="AB247" s="88"/>
      <c r="AC247" s="22"/>
      <c r="AD247" s="44"/>
      <c r="AE247" s="88"/>
    </row>
    <row r="248" spans="1:31" ht="50" hidden="1">
      <c r="A248" s="56"/>
      <c r="B248" s="48"/>
      <c r="C248" s="59" t="s">
        <v>450</v>
      </c>
      <c r="D248" s="59" t="s">
        <v>436</v>
      </c>
      <c r="E248" s="20"/>
      <c r="F248" s="51"/>
      <c r="G248" s="59"/>
      <c r="H248" s="59"/>
      <c r="I248" s="20" t="s">
        <v>312</v>
      </c>
      <c r="J248" s="51">
        <v>7772000</v>
      </c>
      <c r="K248" s="61">
        <v>3</v>
      </c>
      <c r="L248" s="41">
        <v>0</v>
      </c>
      <c r="M248" s="20">
        <v>2</v>
      </c>
      <c r="N248" s="82">
        <v>0</v>
      </c>
      <c r="O248" s="86"/>
      <c r="P248" s="86"/>
      <c r="Q248" s="20"/>
      <c r="R248" s="80"/>
      <c r="S248" s="87">
        <f t="shared" ref="S248:T248" si="214">K248+M248+O248+Q248</f>
        <v>5</v>
      </c>
      <c r="T248" s="18">
        <f t="shared" si="214"/>
        <v>0</v>
      </c>
      <c r="U248" s="27">
        <f>S248/12</f>
        <v>0.41666666666666669</v>
      </c>
      <c r="V248" s="27">
        <f t="shared" si="12"/>
        <v>0</v>
      </c>
      <c r="W248" s="11"/>
      <c r="X248" s="11"/>
      <c r="Y248" s="11"/>
      <c r="Z248" s="11"/>
      <c r="AA248" s="20" t="s">
        <v>145</v>
      </c>
      <c r="AB248" s="88"/>
      <c r="AC248" s="22"/>
      <c r="AD248" s="44"/>
      <c r="AE248" s="88"/>
    </row>
    <row r="249" spans="1:31" ht="50" hidden="1">
      <c r="A249" s="56"/>
      <c r="B249" s="48"/>
      <c r="C249" s="59" t="s">
        <v>451</v>
      </c>
      <c r="D249" s="59" t="s">
        <v>436</v>
      </c>
      <c r="E249" s="20"/>
      <c r="F249" s="51"/>
      <c r="G249" s="59"/>
      <c r="H249" s="59"/>
      <c r="I249" s="20" t="s">
        <v>337</v>
      </c>
      <c r="J249" s="51">
        <v>3350000</v>
      </c>
      <c r="K249" s="61">
        <v>1</v>
      </c>
      <c r="L249" s="41">
        <v>0</v>
      </c>
      <c r="M249" s="20">
        <v>0</v>
      </c>
      <c r="N249" s="82">
        <v>1675000</v>
      </c>
      <c r="O249" s="86"/>
      <c r="P249" s="86"/>
      <c r="Q249" s="20"/>
      <c r="R249" s="80"/>
      <c r="S249" s="87">
        <f t="shared" ref="S249:T249" si="215">K249+M249+O249+Q249</f>
        <v>1</v>
      </c>
      <c r="T249" s="18">
        <f t="shared" si="215"/>
        <v>1675000</v>
      </c>
      <c r="U249" s="27">
        <f>S249/4</f>
        <v>0.25</v>
      </c>
      <c r="V249" s="27">
        <f t="shared" si="12"/>
        <v>0.5</v>
      </c>
      <c r="W249" s="11"/>
      <c r="X249" s="11"/>
      <c r="Y249" s="11"/>
      <c r="Z249" s="11"/>
      <c r="AA249" s="20" t="s">
        <v>148</v>
      </c>
      <c r="AB249" s="88"/>
      <c r="AC249" s="22"/>
      <c r="AD249" s="44"/>
      <c r="AE249" s="88"/>
    </row>
    <row r="250" spans="1:31" ht="50" hidden="1">
      <c r="A250" s="56"/>
      <c r="B250" s="48"/>
      <c r="C250" s="59" t="s">
        <v>452</v>
      </c>
      <c r="D250" s="59" t="s">
        <v>436</v>
      </c>
      <c r="E250" s="20"/>
      <c r="F250" s="51"/>
      <c r="G250" s="59"/>
      <c r="H250" s="59"/>
      <c r="I250" s="20" t="s">
        <v>312</v>
      </c>
      <c r="J250" s="51">
        <v>6300000</v>
      </c>
      <c r="K250" s="61">
        <v>3</v>
      </c>
      <c r="L250" s="41">
        <v>0</v>
      </c>
      <c r="M250" s="20">
        <v>2</v>
      </c>
      <c r="N250" s="82">
        <v>2077000</v>
      </c>
      <c r="O250" s="86"/>
      <c r="P250" s="86"/>
      <c r="Q250" s="20"/>
      <c r="R250" s="80"/>
      <c r="S250" s="87">
        <f t="shared" ref="S250:T250" si="216">K250+M250+O250+Q250</f>
        <v>5</v>
      </c>
      <c r="T250" s="18">
        <f t="shared" si="216"/>
        <v>2077000</v>
      </c>
      <c r="U250" s="27">
        <f t="shared" ref="U250:U261" si="217">S250/12</f>
        <v>0.41666666666666669</v>
      </c>
      <c r="V250" s="27">
        <f t="shared" si="12"/>
        <v>0.32968253968253969</v>
      </c>
      <c r="W250" s="11"/>
      <c r="X250" s="11"/>
      <c r="Y250" s="11"/>
      <c r="Z250" s="11"/>
      <c r="AA250" s="20" t="s">
        <v>151</v>
      </c>
      <c r="AB250" s="88"/>
      <c r="AC250" s="22"/>
      <c r="AD250" s="44"/>
      <c r="AE250" s="88"/>
    </row>
    <row r="251" spans="1:31" ht="50" hidden="1">
      <c r="A251" s="56"/>
      <c r="B251" s="48"/>
      <c r="C251" s="59" t="s">
        <v>453</v>
      </c>
      <c r="D251" s="59" t="s">
        <v>436</v>
      </c>
      <c r="E251" s="20"/>
      <c r="F251" s="51"/>
      <c r="G251" s="59"/>
      <c r="H251" s="59"/>
      <c r="I251" s="20" t="s">
        <v>312</v>
      </c>
      <c r="J251" s="51">
        <v>3546000</v>
      </c>
      <c r="K251" s="61">
        <v>3</v>
      </c>
      <c r="L251" s="41">
        <v>0</v>
      </c>
      <c r="M251" s="20">
        <v>2</v>
      </c>
      <c r="N251" s="82">
        <v>0</v>
      </c>
      <c r="O251" s="86"/>
      <c r="P251" s="86"/>
      <c r="Q251" s="20"/>
      <c r="R251" s="80"/>
      <c r="S251" s="87">
        <f t="shared" ref="S251:T251" si="218">K251+M251+O251+Q251</f>
        <v>5</v>
      </c>
      <c r="T251" s="18">
        <f t="shared" si="218"/>
        <v>0</v>
      </c>
      <c r="U251" s="27">
        <f t="shared" si="217"/>
        <v>0.41666666666666669</v>
      </c>
      <c r="V251" s="27">
        <f t="shared" si="12"/>
        <v>0</v>
      </c>
      <c r="W251" s="11"/>
      <c r="X251" s="11"/>
      <c r="Y251" s="11"/>
      <c r="Z251" s="11"/>
      <c r="AA251" s="20" t="s">
        <v>154</v>
      </c>
      <c r="AB251" s="88"/>
      <c r="AC251" s="22"/>
      <c r="AD251" s="44"/>
      <c r="AE251" s="88"/>
    </row>
    <row r="252" spans="1:31" ht="50" hidden="1">
      <c r="A252" s="56"/>
      <c r="B252" s="48"/>
      <c r="C252" s="59" t="s">
        <v>454</v>
      </c>
      <c r="D252" s="59" t="s">
        <v>436</v>
      </c>
      <c r="E252" s="20"/>
      <c r="F252" s="51"/>
      <c r="G252" s="59"/>
      <c r="H252" s="59"/>
      <c r="I252" s="20" t="s">
        <v>312</v>
      </c>
      <c r="J252" s="51">
        <v>9748000</v>
      </c>
      <c r="K252" s="61">
        <v>3</v>
      </c>
      <c r="L252" s="41">
        <v>0</v>
      </c>
      <c r="M252" s="20">
        <v>2</v>
      </c>
      <c r="N252" s="82">
        <v>0</v>
      </c>
      <c r="O252" s="86"/>
      <c r="P252" s="86"/>
      <c r="Q252" s="20"/>
      <c r="R252" s="80"/>
      <c r="S252" s="87">
        <f t="shared" ref="S252:T252" si="219">K252+M252+O252+Q252</f>
        <v>5</v>
      </c>
      <c r="T252" s="18">
        <f t="shared" si="219"/>
        <v>0</v>
      </c>
      <c r="U252" s="27">
        <f t="shared" si="217"/>
        <v>0.41666666666666669</v>
      </c>
      <c r="V252" s="27">
        <f t="shared" si="12"/>
        <v>0</v>
      </c>
      <c r="W252" s="11"/>
      <c r="X252" s="11"/>
      <c r="Y252" s="11"/>
      <c r="Z252" s="11"/>
      <c r="AA252" s="20" t="s">
        <v>157</v>
      </c>
      <c r="AB252" s="88"/>
      <c r="AC252" s="22"/>
      <c r="AD252" s="44"/>
      <c r="AE252" s="88"/>
    </row>
    <row r="253" spans="1:31" ht="62.5" hidden="1">
      <c r="A253" s="56"/>
      <c r="B253" s="48"/>
      <c r="C253" s="59" t="s">
        <v>455</v>
      </c>
      <c r="D253" s="59" t="s">
        <v>456</v>
      </c>
      <c r="E253" s="20"/>
      <c r="F253" s="51"/>
      <c r="G253" s="59"/>
      <c r="H253" s="59"/>
      <c r="I253" s="20" t="s">
        <v>457</v>
      </c>
      <c r="J253" s="51">
        <v>7200000</v>
      </c>
      <c r="K253" s="61">
        <v>0</v>
      </c>
      <c r="L253" s="41">
        <v>0</v>
      </c>
      <c r="M253" s="20">
        <v>5</v>
      </c>
      <c r="N253" s="82">
        <v>0</v>
      </c>
      <c r="O253" s="86"/>
      <c r="P253" s="86">
        <v>0</v>
      </c>
      <c r="Q253" s="20"/>
      <c r="R253" s="80"/>
      <c r="S253" s="87">
        <f t="shared" ref="S253:T253" si="220">K253+M253+O253+Q253</f>
        <v>5</v>
      </c>
      <c r="T253" s="18">
        <f t="shared" si="220"/>
        <v>0</v>
      </c>
      <c r="U253" s="27">
        <f t="shared" si="217"/>
        <v>0.41666666666666669</v>
      </c>
      <c r="V253" s="27">
        <f t="shared" si="12"/>
        <v>0</v>
      </c>
      <c r="W253" s="11"/>
      <c r="X253" s="11"/>
      <c r="Y253" s="11"/>
      <c r="Z253" s="11"/>
      <c r="AA253" s="20" t="s">
        <v>56</v>
      </c>
      <c r="AB253" s="88"/>
      <c r="AC253" s="22"/>
      <c r="AD253" s="44"/>
      <c r="AE253" s="88"/>
    </row>
    <row r="254" spans="1:31" ht="62.5" hidden="1">
      <c r="A254" s="56"/>
      <c r="B254" s="48"/>
      <c r="C254" s="59" t="s">
        <v>458</v>
      </c>
      <c r="D254" s="59" t="s">
        <v>456</v>
      </c>
      <c r="E254" s="20"/>
      <c r="F254" s="51"/>
      <c r="G254" s="59"/>
      <c r="H254" s="59"/>
      <c r="I254" s="20" t="s">
        <v>459</v>
      </c>
      <c r="J254" s="51">
        <v>100000</v>
      </c>
      <c r="K254" s="61">
        <v>3</v>
      </c>
      <c r="L254" s="41">
        <v>0</v>
      </c>
      <c r="M254" s="20">
        <v>2</v>
      </c>
      <c r="N254" s="82">
        <v>0</v>
      </c>
      <c r="O254" s="86"/>
      <c r="P254" s="86"/>
      <c r="Q254" s="20"/>
      <c r="R254" s="80"/>
      <c r="S254" s="87">
        <f t="shared" ref="S254:T254" si="221">K254+M254+O254+Q254</f>
        <v>5</v>
      </c>
      <c r="T254" s="18">
        <f t="shared" si="221"/>
        <v>0</v>
      </c>
      <c r="U254" s="27">
        <f t="shared" si="217"/>
        <v>0.41666666666666669</v>
      </c>
      <c r="V254" s="27">
        <f t="shared" si="12"/>
        <v>0</v>
      </c>
      <c r="W254" s="11"/>
      <c r="X254" s="11"/>
      <c r="Y254" s="11"/>
      <c r="Z254" s="11"/>
      <c r="AA254" s="20" t="s">
        <v>112</v>
      </c>
      <c r="AB254" s="88"/>
      <c r="AC254" s="22"/>
      <c r="AD254" s="44"/>
      <c r="AE254" s="88"/>
    </row>
    <row r="255" spans="1:31" ht="62.5" hidden="1">
      <c r="A255" s="56"/>
      <c r="B255" s="48"/>
      <c r="C255" s="59" t="s">
        <v>460</v>
      </c>
      <c r="D255" s="59" t="s">
        <v>456</v>
      </c>
      <c r="E255" s="20"/>
      <c r="F255" s="51"/>
      <c r="G255" s="59"/>
      <c r="H255" s="59"/>
      <c r="I255" s="20" t="s">
        <v>459</v>
      </c>
      <c r="J255" s="51">
        <v>1000000</v>
      </c>
      <c r="K255" s="61">
        <v>3</v>
      </c>
      <c r="L255" s="41">
        <v>0</v>
      </c>
      <c r="M255" s="20">
        <v>2</v>
      </c>
      <c r="N255" s="82">
        <v>0</v>
      </c>
      <c r="O255" s="86"/>
      <c r="P255" s="86"/>
      <c r="Q255" s="20"/>
      <c r="R255" s="80"/>
      <c r="S255" s="87">
        <f t="shared" ref="S255:T255" si="222">K255+M255+O255+Q255</f>
        <v>5</v>
      </c>
      <c r="T255" s="18">
        <f t="shared" si="222"/>
        <v>0</v>
      </c>
      <c r="U255" s="27">
        <f t="shared" si="217"/>
        <v>0.41666666666666669</v>
      </c>
      <c r="V255" s="27">
        <f t="shared" si="12"/>
        <v>0</v>
      </c>
      <c r="W255" s="11"/>
      <c r="X255" s="11"/>
      <c r="Y255" s="11"/>
      <c r="Z255" s="11"/>
      <c r="AA255" s="20" t="s">
        <v>115</v>
      </c>
      <c r="AB255" s="88"/>
      <c r="AC255" s="22"/>
      <c r="AD255" s="44"/>
      <c r="AE255" s="88"/>
    </row>
    <row r="256" spans="1:31" ht="62.5" hidden="1">
      <c r="A256" s="56"/>
      <c r="B256" s="48"/>
      <c r="C256" s="59" t="s">
        <v>461</v>
      </c>
      <c r="D256" s="59" t="s">
        <v>456</v>
      </c>
      <c r="E256" s="20"/>
      <c r="F256" s="51"/>
      <c r="G256" s="59"/>
      <c r="H256" s="59"/>
      <c r="I256" s="20" t="s">
        <v>457</v>
      </c>
      <c r="J256" s="51">
        <v>1200000</v>
      </c>
      <c r="K256" s="61">
        <v>3</v>
      </c>
      <c r="L256" s="41">
        <v>0</v>
      </c>
      <c r="M256" s="20">
        <v>3</v>
      </c>
      <c r="N256" s="82">
        <v>233100</v>
      </c>
      <c r="O256" s="86"/>
      <c r="P256" s="86"/>
      <c r="Q256" s="20"/>
      <c r="R256" s="80"/>
      <c r="S256" s="87">
        <f t="shared" ref="S256:T256" si="223">K256+M256+O256+Q256</f>
        <v>6</v>
      </c>
      <c r="T256" s="18">
        <f t="shared" si="223"/>
        <v>233100</v>
      </c>
      <c r="U256" s="27">
        <f t="shared" si="217"/>
        <v>0.5</v>
      </c>
      <c r="V256" s="27">
        <f t="shared" si="12"/>
        <v>0.19425000000000001</v>
      </c>
      <c r="W256" s="11"/>
      <c r="X256" s="11"/>
      <c r="Y256" s="11"/>
      <c r="Z256" s="11"/>
      <c r="AA256" s="20" t="s">
        <v>124</v>
      </c>
      <c r="AB256" s="88"/>
      <c r="AC256" s="22"/>
      <c r="AD256" s="44"/>
      <c r="AE256" s="88"/>
    </row>
    <row r="257" spans="1:31" ht="75" hidden="1">
      <c r="A257" s="56"/>
      <c r="B257" s="48"/>
      <c r="C257" s="59" t="s">
        <v>462</v>
      </c>
      <c r="D257" s="59" t="s">
        <v>456</v>
      </c>
      <c r="E257" s="20"/>
      <c r="F257" s="51"/>
      <c r="G257" s="59"/>
      <c r="H257" s="59"/>
      <c r="I257" s="20" t="s">
        <v>459</v>
      </c>
      <c r="J257" s="51">
        <v>200000</v>
      </c>
      <c r="K257" s="61">
        <v>3</v>
      </c>
      <c r="L257" s="41">
        <v>0</v>
      </c>
      <c r="M257" s="20">
        <v>2</v>
      </c>
      <c r="N257" s="82">
        <v>0</v>
      </c>
      <c r="O257" s="86"/>
      <c r="P257" s="86"/>
      <c r="Q257" s="20"/>
      <c r="R257" s="80"/>
      <c r="S257" s="87">
        <f t="shared" ref="S257:T257" si="224">K257+M257+O257+Q257</f>
        <v>5</v>
      </c>
      <c r="T257" s="18">
        <f t="shared" si="224"/>
        <v>0</v>
      </c>
      <c r="U257" s="27">
        <f t="shared" si="217"/>
        <v>0.41666666666666669</v>
      </c>
      <c r="V257" s="27">
        <f t="shared" si="12"/>
        <v>0</v>
      </c>
      <c r="W257" s="11"/>
      <c r="X257" s="11"/>
      <c r="Y257" s="11"/>
      <c r="Z257" s="11"/>
      <c r="AA257" s="20" t="s">
        <v>127</v>
      </c>
      <c r="AB257" s="88"/>
      <c r="AC257" s="22"/>
      <c r="AD257" s="44"/>
      <c r="AE257" s="88"/>
    </row>
    <row r="258" spans="1:31" ht="62.5">
      <c r="A258" s="56"/>
      <c r="B258" s="48"/>
      <c r="C258" s="59" t="s">
        <v>463</v>
      </c>
      <c r="D258" s="59" t="s">
        <v>456</v>
      </c>
      <c r="E258" s="20"/>
      <c r="F258" s="51"/>
      <c r="G258" s="59"/>
      <c r="H258" s="59"/>
      <c r="I258" s="20" t="s">
        <v>459</v>
      </c>
      <c r="J258" s="51">
        <v>826800</v>
      </c>
      <c r="K258" s="61">
        <v>3</v>
      </c>
      <c r="L258" s="41">
        <v>0</v>
      </c>
      <c r="M258" s="20">
        <v>3</v>
      </c>
      <c r="N258" s="82">
        <v>0</v>
      </c>
      <c r="O258" s="86">
        <v>3</v>
      </c>
      <c r="P258" s="86">
        <v>0</v>
      </c>
      <c r="Q258" s="20">
        <v>3</v>
      </c>
      <c r="R258" s="80">
        <v>150000</v>
      </c>
      <c r="S258" s="87">
        <f t="shared" ref="S258:T258" si="225">K258+M258+O258+Q258</f>
        <v>12</v>
      </c>
      <c r="T258" s="18">
        <f t="shared" si="225"/>
        <v>150000</v>
      </c>
      <c r="U258" s="27">
        <f t="shared" si="217"/>
        <v>1</v>
      </c>
      <c r="V258" s="27">
        <f t="shared" si="12"/>
        <v>0.18142235123367198</v>
      </c>
      <c r="W258" s="11"/>
      <c r="X258" s="11"/>
      <c r="Y258" s="11"/>
      <c r="Z258" s="11"/>
      <c r="AA258" s="20" t="s">
        <v>130</v>
      </c>
      <c r="AB258" s="88"/>
      <c r="AC258" s="22"/>
      <c r="AD258" s="44"/>
      <c r="AE258" s="88"/>
    </row>
    <row r="259" spans="1:31" ht="75" hidden="1">
      <c r="A259" s="56"/>
      <c r="B259" s="48"/>
      <c r="C259" s="59" t="s">
        <v>464</v>
      </c>
      <c r="D259" s="59" t="s">
        <v>456</v>
      </c>
      <c r="E259" s="20"/>
      <c r="F259" s="51"/>
      <c r="G259" s="59"/>
      <c r="H259" s="59"/>
      <c r="I259" s="20" t="s">
        <v>459</v>
      </c>
      <c r="J259" s="51">
        <v>1400000</v>
      </c>
      <c r="K259" s="61">
        <v>3</v>
      </c>
      <c r="L259" s="41">
        <v>0</v>
      </c>
      <c r="M259" s="20">
        <v>2</v>
      </c>
      <c r="N259" s="82">
        <v>0</v>
      </c>
      <c r="O259" s="86"/>
      <c r="P259" s="86"/>
      <c r="Q259" s="20"/>
      <c r="R259" s="80"/>
      <c r="S259" s="87">
        <f t="shared" ref="S259:T259" si="226">K259+M259+O259+Q259</f>
        <v>5</v>
      </c>
      <c r="T259" s="18">
        <f t="shared" si="226"/>
        <v>0</v>
      </c>
      <c r="U259" s="27">
        <f t="shared" si="217"/>
        <v>0.41666666666666669</v>
      </c>
      <c r="V259" s="27">
        <f t="shared" si="12"/>
        <v>0</v>
      </c>
      <c r="W259" s="11"/>
      <c r="X259" s="11"/>
      <c r="Y259" s="11"/>
      <c r="Z259" s="11"/>
      <c r="AA259" s="20" t="s">
        <v>133</v>
      </c>
      <c r="AB259" s="88"/>
      <c r="AC259" s="22"/>
      <c r="AD259" s="44"/>
      <c r="AE259" s="88"/>
    </row>
    <row r="260" spans="1:31" ht="62.5" hidden="1">
      <c r="A260" s="56"/>
      <c r="B260" s="48"/>
      <c r="C260" s="59" t="s">
        <v>465</v>
      </c>
      <c r="D260" s="59" t="s">
        <v>456</v>
      </c>
      <c r="E260" s="20"/>
      <c r="F260" s="51"/>
      <c r="G260" s="59"/>
      <c r="H260" s="59"/>
      <c r="I260" s="20" t="s">
        <v>459</v>
      </c>
      <c r="J260" s="51">
        <v>600000</v>
      </c>
      <c r="K260" s="61">
        <v>3</v>
      </c>
      <c r="L260" s="41">
        <v>0</v>
      </c>
      <c r="M260" s="20">
        <v>2</v>
      </c>
      <c r="N260" s="82">
        <v>0</v>
      </c>
      <c r="O260" s="86"/>
      <c r="P260" s="86"/>
      <c r="Q260" s="20"/>
      <c r="R260" s="80"/>
      <c r="S260" s="87">
        <f t="shared" ref="S260:T260" si="227">K260+M260+O260+Q260</f>
        <v>5</v>
      </c>
      <c r="T260" s="18">
        <f t="shared" si="227"/>
        <v>0</v>
      </c>
      <c r="U260" s="27">
        <f t="shared" si="217"/>
        <v>0.41666666666666669</v>
      </c>
      <c r="V260" s="27">
        <f t="shared" si="12"/>
        <v>0</v>
      </c>
      <c r="W260" s="11"/>
      <c r="X260" s="11"/>
      <c r="Y260" s="11"/>
      <c r="Z260" s="11"/>
      <c r="AA260" s="20" t="s">
        <v>136</v>
      </c>
      <c r="AB260" s="88"/>
      <c r="AC260" s="22"/>
      <c r="AD260" s="44"/>
      <c r="AE260" s="88"/>
    </row>
    <row r="261" spans="1:31" ht="62.5" hidden="1">
      <c r="A261" s="56"/>
      <c r="B261" s="48"/>
      <c r="C261" s="59" t="s">
        <v>466</v>
      </c>
      <c r="D261" s="59" t="s">
        <v>456</v>
      </c>
      <c r="E261" s="20"/>
      <c r="F261" s="51"/>
      <c r="G261" s="59"/>
      <c r="H261" s="59"/>
      <c r="I261" s="20" t="s">
        <v>459</v>
      </c>
      <c r="J261" s="51">
        <v>500000</v>
      </c>
      <c r="K261" s="61">
        <v>3</v>
      </c>
      <c r="L261" s="41">
        <v>0</v>
      </c>
      <c r="M261" s="20">
        <v>2</v>
      </c>
      <c r="N261" s="82">
        <v>70000</v>
      </c>
      <c r="O261" s="86"/>
      <c r="P261" s="86"/>
      <c r="Q261" s="20"/>
      <c r="R261" s="80"/>
      <c r="S261" s="87">
        <f t="shared" ref="S261:T261" si="228">K261+M261+O261+Q261</f>
        <v>5</v>
      </c>
      <c r="T261" s="18">
        <f t="shared" si="228"/>
        <v>70000</v>
      </c>
      <c r="U261" s="27">
        <f t="shared" si="217"/>
        <v>0.41666666666666669</v>
      </c>
      <c r="V261" s="27">
        <f t="shared" si="12"/>
        <v>0.14000000000000001</v>
      </c>
      <c r="W261" s="11"/>
      <c r="X261" s="11"/>
      <c r="Y261" s="11"/>
      <c r="Z261" s="11"/>
      <c r="AA261" s="20" t="s">
        <v>139</v>
      </c>
      <c r="AB261" s="88"/>
      <c r="AC261" s="22"/>
      <c r="AD261" s="44"/>
      <c r="AE261" s="88"/>
    </row>
    <row r="262" spans="1:31" ht="62.5" hidden="1">
      <c r="A262" s="56"/>
      <c r="B262" s="48"/>
      <c r="C262" s="59" t="s">
        <v>467</v>
      </c>
      <c r="D262" s="59" t="s">
        <v>456</v>
      </c>
      <c r="E262" s="20"/>
      <c r="F262" s="51"/>
      <c r="G262" s="59"/>
      <c r="H262" s="59"/>
      <c r="I262" s="20" t="s">
        <v>468</v>
      </c>
      <c r="J262" s="51">
        <v>600000</v>
      </c>
      <c r="K262" s="61">
        <v>0</v>
      </c>
      <c r="L262" s="41">
        <v>0</v>
      </c>
      <c r="M262" s="20">
        <v>1</v>
      </c>
      <c r="N262" s="82">
        <v>0</v>
      </c>
      <c r="O262" s="86"/>
      <c r="P262" s="86"/>
      <c r="Q262" s="20"/>
      <c r="R262" s="80"/>
      <c r="S262" s="87">
        <f t="shared" ref="S262:T262" si="229">K262+M262+O262+Q262</f>
        <v>1</v>
      </c>
      <c r="T262" s="18">
        <f t="shared" si="229"/>
        <v>0</v>
      </c>
      <c r="U262" s="27">
        <f>S262/3</f>
        <v>0.33333333333333331</v>
      </c>
      <c r="V262" s="27">
        <f t="shared" si="12"/>
        <v>0</v>
      </c>
      <c r="W262" s="11"/>
      <c r="X262" s="11"/>
      <c r="Y262" s="11"/>
      <c r="Z262" s="11"/>
      <c r="AA262" s="20" t="s">
        <v>142</v>
      </c>
      <c r="AB262" s="88"/>
      <c r="AC262" s="22"/>
      <c r="AD262" s="44"/>
      <c r="AE262" s="88"/>
    </row>
    <row r="263" spans="1:31" ht="62.5" hidden="1">
      <c r="A263" s="56"/>
      <c r="B263" s="48"/>
      <c r="C263" s="59" t="s">
        <v>469</v>
      </c>
      <c r="D263" s="59" t="s">
        <v>456</v>
      </c>
      <c r="E263" s="20"/>
      <c r="F263" s="51"/>
      <c r="G263" s="59"/>
      <c r="H263" s="59"/>
      <c r="I263" s="20" t="s">
        <v>459</v>
      </c>
      <c r="J263" s="51">
        <v>1000000</v>
      </c>
      <c r="K263" s="61">
        <v>3</v>
      </c>
      <c r="L263" s="41">
        <v>0</v>
      </c>
      <c r="M263" s="20">
        <v>2</v>
      </c>
      <c r="N263" s="82">
        <v>0</v>
      </c>
      <c r="O263" s="86"/>
      <c r="P263" s="86"/>
      <c r="Q263" s="20"/>
      <c r="R263" s="80"/>
      <c r="S263" s="87">
        <f t="shared" ref="S263:T263" si="230">K263+M263+O263+Q263</f>
        <v>5</v>
      </c>
      <c r="T263" s="18">
        <f t="shared" si="230"/>
        <v>0</v>
      </c>
      <c r="U263" s="27">
        <f>S26:S263/12</f>
        <v>0.41666666666666669</v>
      </c>
      <c r="V263" s="27">
        <f t="shared" si="12"/>
        <v>0</v>
      </c>
      <c r="W263" s="11"/>
      <c r="X263" s="11"/>
      <c r="Y263" s="11"/>
      <c r="Z263" s="11"/>
      <c r="AA263" s="20" t="s">
        <v>148</v>
      </c>
      <c r="AB263" s="88"/>
      <c r="AC263" s="22"/>
      <c r="AD263" s="44"/>
      <c r="AE263" s="88"/>
    </row>
    <row r="264" spans="1:31" ht="62.5" hidden="1">
      <c r="A264" s="56"/>
      <c r="B264" s="48"/>
      <c r="C264" s="59" t="s">
        <v>470</v>
      </c>
      <c r="D264" s="59" t="s">
        <v>456</v>
      </c>
      <c r="E264" s="20"/>
      <c r="F264" s="51"/>
      <c r="G264" s="59"/>
      <c r="H264" s="59"/>
      <c r="I264" s="20" t="s">
        <v>471</v>
      </c>
      <c r="J264" s="51">
        <v>200000</v>
      </c>
      <c r="K264" s="61">
        <v>0</v>
      </c>
      <c r="L264" s="41">
        <v>0</v>
      </c>
      <c r="M264" s="20">
        <v>0</v>
      </c>
      <c r="N264" s="82">
        <v>0</v>
      </c>
      <c r="O264" s="86"/>
      <c r="P264" s="86"/>
      <c r="Q264" s="20"/>
      <c r="R264" s="80"/>
      <c r="S264" s="87">
        <f t="shared" ref="S264:T264" si="231">K264+M264+O264+Q264</f>
        <v>0</v>
      </c>
      <c r="T264" s="18">
        <f t="shared" si="231"/>
        <v>0</v>
      </c>
      <c r="U264" s="27">
        <f>S264/2</f>
        <v>0</v>
      </c>
      <c r="V264" s="27">
        <f t="shared" si="12"/>
        <v>0</v>
      </c>
      <c r="W264" s="11"/>
      <c r="X264" s="11"/>
      <c r="Y264" s="11"/>
      <c r="Z264" s="11"/>
      <c r="AA264" s="20" t="s">
        <v>151</v>
      </c>
      <c r="AB264" s="88"/>
      <c r="AC264" s="22"/>
      <c r="AD264" s="44"/>
      <c r="AE264" s="88"/>
    </row>
    <row r="265" spans="1:31" ht="62.5" hidden="1">
      <c r="A265" s="56"/>
      <c r="B265" s="48"/>
      <c r="C265" s="59" t="s">
        <v>472</v>
      </c>
      <c r="D265" s="59" t="s">
        <v>456</v>
      </c>
      <c r="E265" s="20"/>
      <c r="F265" s="51"/>
      <c r="G265" s="59"/>
      <c r="H265" s="59"/>
      <c r="I265" s="20" t="s">
        <v>459</v>
      </c>
      <c r="J265" s="51">
        <v>1000000</v>
      </c>
      <c r="K265" s="61">
        <v>3</v>
      </c>
      <c r="L265" s="41">
        <v>0</v>
      </c>
      <c r="M265" s="20">
        <v>2</v>
      </c>
      <c r="N265" s="82">
        <v>40000</v>
      </c>
      <c r="O265" s="86"/>
      <c r="P265" s="86"/>
      <c r="Q265" s="20"/>
      <c r="R265" s="80"/>
      <c r="S265" s="87">
        <f t="shared" ref="S265:T265" si="232">K265+M265+O265+Q265</f>
        <v>5</v>
      </c>
      <c r="T265" s="18">
        <f t="shared" si="232"/>
        <v>40000</v>
      </c>
      <c r="U265" s="27">
        <f t="shared" ref="U265:U266" si="233">S265/12</f>
        <v>0.41666666666666669</v>
      </c>
      <c r="V265" s="27">
        <f t="shared" si="12"/>
        <v>0.04</v>
      </c>
      <c r="W265" s="11"/>
      <c r="X265" s="11"/>
      <c r="Y265" s="11"/>
      <c r="Z265" s="11"/>
      <c r="AA265" s="20" t="s">
        <v>154</v>
      </c>
      <c r="AB265" s="88"/>
      <c r="AC265" s="22"/>
      <c r="AD265" s="44"/>
      <c r="AE265" s="88"/>
    </row>
    <row r="266" spans="1:31" ht="62.5" hidden="1">
      <c r="A266" s="56"/>
      <c r="B266" s="48"/>
      <c r="C266" s="59" t="s">
        <v>473</v>
      </c>
      <c r="D266" s="59" t="s">
        <v>456</v>
      </c>
      <c r="E266" s="20"/>
      <c r="F266" s="51"/>
      <c r="G266" s="59"/>
      <c r="H266" s="59"/>
      <c r="I266" s="20" t="s">
        <v>459</v>
      </c>
      <c r="J266" s="51">
        <v>200000</v>
      </c>
      <c r="K266" s="61">
        <v>3</v>
      </c>
      <c r="L266" s="41">
        <v>0</v>
      </c>
      <c r="M266" s="20">
        <v>2</v>
      </c>
      <c r="N266" s="82">
        <v>0</v>
      </c>
      <c r="O266" s="86"/>
      <c r="P266" s="86"/>
      <c r="Q266" s="20"/>
      <c r="R266" s="80"/>
      <c r="S266" s="87">
        <f t="shared" ref="S266:T266" si="234">K266+M266+O266+Q266</f>
        <v>5</v>
      </c>
      <c r="T266" s="18">
        <f t="shared" si="234"/>
        <v>0</v>
      </c>
      <c r="U266" s="27">
        <f t="shared" si="233"/>
        <v>0.41666666666666669</v>
      </c>
      <c r="V266" s="27">
        <f t="shared" si="12"/>
        <v>0</v>
      </c>
      <c r="W266" s="11"/>
      <c r="X266" s="11"/>
      <c r="Y266" s="11"/>
      <c r="Z266" s="11"/>
      <c r="AA266" s="20" t="s">
        <v>157</v>
      </c>
      <c r="AB266" s="88"/>
      <c r="AC266" s="22"/>
      <c r="AD266" s="44"/>
      <c r="AE266" s="88"/>
    </row>
    <row r="267" spans="1:31" ht="37.5" hidden="1">
      <c r="A267" s="56"/>
      <c r="B267" s="48"/>
      <c r="C267" s="59" t="s">
        <v>474</v>
      </c>
      <c r="D267" s="59" t="s">
        <v>475</v>
      </c>
      <c r="E267" s="20" t="s">
        <v>476</v>
      </c>
      <c r="F267" s="51">
        <v>822946933</v>
      </c>
      <c r="G267" s="59"/>
      <c r="H267" s="59"/>
      <c r="I267" s="20" t="s">
        <v>339</v>
      </c>
      <c r="J267" s="51">
        <v>213712256</v>
      </c>
      <c r="K267" s="61">
        <v>6</v>
      </c>
      <c r="L267" s="41">
        <v>22867410</v>
      </c>
      <c r="M267" s="20">
        <v>4</v>
      </c>
      <c r="N267" s="82">
        <f>63243010-L267</f>
        <v>40375600</v>
      </c>
      <c r="O267" s="86"/>
      <c r="P267" s="86">
        <f>167704210-L267-N267</f>
        <v>104461200</v>
      </c>
      <c r="Q267" s="20"/>
      <c r="R267" s="80"/>
      <c r="S267" s="87">
        <f t="shared" ref="S267:T267" si="235">K267+M267+O267+Q267</f>
        <v>10</v>
      </c>
      <c r="T267" s="18">
        <f t="shared" si="235"/>
        <v>167704210</v>
      </c>
      <c r="U267" s="27">
        <f>S267/24</f>
        <v>0.41666666666666669</v>
      </c>
      <c r="V267" s="27">
        <f t="shared" si="12"/>
        <v>0.78471966530548443</v>
      </c>
      <c r="W267" s="11"/>
      <c r="X267" s="11"/>
      <c r="Y267" s="11"/>
      <c r="Z267" s="11"/>
      <c r="AA267" s="20" t="s">
        <v>56</v>
      </c>
      <c r="AB267" s="88"/>
      <c r="AC267" s="22"/>
      <c r="AD267" s="44"/>
      <c r="AE267" s="88"/>
    </row>
    <row r="268" spans="1:31" ht="87.5" hidden="1">
      <c r="A268" s="56"/>
      <c r="B268" s="48"/>
      <c r="C268" s="59" t="s">
        <v>477</v>
      </c>
      <c r="D268" s="59" t="s">
        <v>478</v>
      </c>
      <c r="E268" s="20" t="s">
        <v>479</v>
      </c>
      <c r="F268" s="51">
        <v>1654268000</v>
      </c>
      <c r="G268" s="59"/>
      <c r="H268" s="59"/>
      <c r="I268" s="20" t="s">
        <v>59</v>
      </c>
      <c r="J268" s="51">
        <v>1197000000</v>
      </c>
      <c r="K268" s="61">
        <v>1</v>
      </c>
      <c r="L268" s="41">
        <v>219864310</v>
      </c>
      <c r="M268" s="20">
        <v>1</v>
      </c>
      <c r="N268" s="82">
        <f>423315523-L268</f>
        <v>203451213</v>
      </c>
      <c r="O268" s="86"/>
      <c r="P268" s="86">
        <f>840747144-L268-N268</f>
        <v>417431621</v>
      </c>
      <c r="Q268" s="20"/>
      <c r="R268" s="80"/>
      <c r="S268" s="62">
        <v>1</v>
      </c>
      <c r="T268" s="18">
        <f>L268+N268+P268+R268</f>
        <v>840747144</v>
      </c>
      <c r="U268" s="27">
        <f>S268/1</f>
        <v>1</v>
      </c>
      <c r="V268" s="27">
        <f t="shared" si="12"/>
        <v>0.70237856641604013</v>
      </c>
      <c r="W268" s="11"/>
      <c r="X268" s="11"/>
      <c r="Y268" s="11"/>
      <c r="Z268" s="11"/>
      <c r="AA268" s="20" t="s">
        <v>56</v>
      </c>
      <c r="AB268" s="88"/>
      <c r="AC268" s="22"/>
      <c r="AD268" s="44"/>
      <c r="AE268" s="88"/>
    </row>
    <row r="269" spans="1:31" ht="50" hidden="1">
      <c r="A269" s="56"/>
      <c r="B269" s="48"/>
      <c r="C269" s="59" t="s">
        <v>480</v>
      </c>
      <c r="D269" s="59" t="s">
        <v>481</v>
      </c>
      <c r="E269" s="20" t="s">
        <v>482</v>
      </c>
      <c r="F269" s="51">
        <v>521584700</v>
      </c>
      <c r="G269" s="59"/>
      <c r="H269" s="59"/>
      <c r="I269" s="20" t="s">
        <v>483</v>
      </c>
      <c r="J269" s="51">
        <v>100000000</v>
      </c>
      <c r="K269" s="61">
        <v>416</v>
      </c>
      <c r="L269" s="41">
        <v>0</v>
      </c>
      <c r="M269" s="20">
        <v>638</v>
      </c>
      <c r="N269" s="82">
        <v>0</v>
      </c>
      <c r="O269" s="86"/>
      <c r="P269" s="86">
        <f>99798840-L269-N269</f>
        <v>99798840</v>
      </c>
      <c r="Q269" s="20"/>
      <c r="R269" s="80"/>
      <c r="S269" s="87">
        <f t="shared" ref="S269:T269" si="236">K269+M269+O269+Q269</f>
        <v>1054</v>
      </c>
      <c r="T269" s="18">
        <f t="shared" si="236"/>
        <v>99798840</v>
      </c>
      <c r="U269" s="27">
        <f>S269/3142</f>
        <v>0.33545512412476131</v>
      </c>
      <c r="V269" s="27">
        <f t="shared" si="12"/>
        <v>0.9979884</v>
      </c>
      <c r="W269" s="11"/>
      <c r="X269" s="11"/>
      <c r="Y269" s="11"/>
      <c r="Z269" s="11"/>
      <c r="AA269" s="20" t="s">
        <v>56</v>
      </c>
      <c r="AB269" s="88"/>
      <c r="AC269" s="22"/>
      <c r="AD269" s="44"/>
      <c r="AE269" s="88"/>
    </row>
    <row r="270" spans="1:31" ht="50" hidden="1">
      <c r="A270" s="56"/>
      <c r="B270" s="48"/>
      <c r="C270" s="59" t="s">
        <v>484</v>
      </c>
      <c r="D270" s="59" t="s">
        <v>481</v>
      </c>
      <c r="E270" s="20"/>
      <c r="F270" s="51"/>
      <c r="G270" s="59"/>
      <c r="H270" s="59"/>
      <c r="I270" s="20" t="s">
        <v>173</v>
      </c>
      <c r="J270" s="51">
        <v>900000</v>
      </c>
      <c r="K270" s="61">
        <v>16</v>
      </c>
      <c r="L270" s="41">
        <v>0</v>
      </c>
      <c r="M270" s="20">
        <v>8</v>
      </c>
      <c r="N270" s="82">
        <v>0</v>
      </c>
      <c r="O270" s="86"/>
      <c r="P270" s="86"/>
      <c r="Q270" s="20"/>
      <c r="R270" s="80"/>
      <c r="S270" s="87">
        <f t="shared" ref="S270:T270" si="237">K270+M270+O270+Q270</f>
        <v>24</v>
      </c>
      <c r="T270" s="18">
        <f t="shared" si="237"/>
        <v>0</v>
      </c>
      <c r="U270" s="27">
        <f>S270/306</f>
        <v>7.8431372549019607E-2</v>
      </c>
      <c r="V270" s="27">
        <f t="shared" si="12"/>
        <v>0</v>
      </c>
      <c r="W270" s="11"/>
      <c r="X270" s="11"/>
      <c r="Y270" s="11"/>
      <c r="Z270" s="11"/>
      <c r="AA270" s="20" t="s">
        <v>112</v>
      </c>
      <c r="AB270" s="88"/>
      <c r="AC270" s="22"/>
      <c r="AD270" s="44"/>
      <c r="AE270" s="88"/>
    </row>
    <row r="271" spans="1:31" ht="50" hidden="1">
      <c r="A271" s="56"/>
      <c r="B271" s="48"/>
      <c r="C271" s="59" t="s">
        <v>485</v>
      </c>
      <c r="D271" s="59" t="s">
        <v>481</v>
      </c>
      <c r="E271" s="20"/>
      <c r="F271" s="51"/>
      <c r="G271" s="59"/>
      <c r="H271" s="59"/>
      <c r="I271" s="20" t="s">
        <v>486</v>
      </c>
      <c r="J271" s="51">
        <v>2000000</v>
      </c>
      <c r="K271" s="61">
        <v>16</v>
      </c>
      <c r="L271" s="41">
        <v>0</v>
      </c>
      <c r="M271" s="20">
        <v>6</v>
      </c>
      <c r="N271" s="82">
        <v>0</v>
      </c>
      <c r="O271" s="86"/>
      <c r="P271" s="86"/>
      <c r="Q271" s="20"/>
      <c r="R271" s="80"/>
      <c r="S271" s="87">
        <f t="shared" ref="S271:T271" si="238">K271+M271+O271+Q271</f>
        <v>22</v>
      </c>
      <c r="T271" s="18">
        <f t="shared" si="238"/>
        <v>0</v>
      </c>
      <c r="U271" s="27">
        <f>S271/138</f>
        <v>0.15942028985507245</v>
      </c>
      <c r="V271" s="27">
        <f t="shared" si="12"/>
        <v>0</v>
      </c>
      <c r="W271" s="11"/>
      <c r="X271" s="11"/>
      <c r="Y271" s="11"/>
      <c r="Z271" s="11"/>
      <c r="AA271" s="20" t="s">
        <v>115</v>
      </c>
      <c r="AB271" s="88"/>
      <c r="AC271" s="22"/>
      <c r="AD271" s="44"/>
      <c r="AE271" s="88"/>
    </row>
    <row r="272" spans="1:31" ht="50" hidden="1">
      <c r="A272" s="56"/>
      <c r="B272" s="48"/>
      <c r="C272" s="59" t="s">
        <v>487</v>
      </c>
      <c r="D272" s="59" t="s">
        <v>481</v>
      </c>
      <c r="E272" s="20"/>
      <c r="F272" s="51"/>
      <c r="G272" s="59"/>
      <c r="H272" s="59"/>
      <c r="I272" s="20" t="s">
        <v>488</v>
      </c>
      <c r="J272" s="51">
        <v>1200000</v>
      </c>
      <c r="K272" s="61">
        <v>5</v>
      </c>
      <c r="L272" s="41">
        <v>0</v>
      </c>
      <c r="M272" s="20">
        <v>6</v>
      </c>
      <c r="N272" s="82">
        <v>345000</v>
      </c>
      <c r="O272" s="86"/>
      <c r="P272" s="86"/>
      <c r="Q272" s="20"/>
      <c r="R272" s="80"/>
      <c r="S272" s="87">
        <f t="shared" ref="S272:T272" si="239">K272+M272+O272+Q272</f>
        <v>11</v>
      </c>
      <c r="T272" s="18">
        <f t="shared" si="239"/>
        <v>345000</v>
      </c>
      <c r="U272" s="27">
        <v>1</v>
      </c>
      <c r="V272" s="27">
        <f t="shared" si="12"/>
        <v>0.28749999999999998</v>
      </c>
      <c r="W272" s="11"/>
      <c r="X272" s="11"/>
      <c r="Y272" s="11"/>
      <c r="Z272" s="11"/>
      <c r="AA272" s="20" t="s">
        <v>118</v>
      </c>
      <c r="AB272" s="88"/>
      <c r="AC272" s="22"/>
      <c r="AD272" s="44"/>
      <c r="AE272" s="88"/>
    </row>
    <row r="273" spans="1:31" ht="50" hidden="1">
      <c r="A273" s="56"/>
      <c r="B273" s="48"/>
      <c r="C273" s="59" t="s">
        <v>489</v>
      </c>
      <c r="D273" s="59" t="s">
        <v>481</v>
      </c>
      <c r="E273" s="20"/>
      <c r="F273" s="51"/>
      <c r="G273" s="59"/>
      <c r="H273" s="59"/>
      <c r="I273" s="20" t="s">
        <v>490</v>
      </c>
      <c r="J273" s="51">
        <v>1800000</v>
      </c>
      <c r="K273" s="61">
        <v>69</v>
      </c>
      <c r="L273" s="41">
        <v>0</v>
      </c>
      <c r="M273" s="20">
        <v>96</v>
      </c>
      <c r="N273" s="82">
        <v>0</v>
      </c>
      <c r="O273" s="86"/>
      <c r="P273" s="86"/>
      <c r="Q273" s="20"/>
      <c r="R273" s="80"/>
      <c r="S273" s="87">
        <f t="shared" ref="S273:T273" si="240">K273+M273+O273+Q273</f>
        <v>165</v>
      </c>
      <c r="T273" s="18">
        <f t="shared" si="240"/>
        <v>0</v>
      </c>
      <c r="U273" s="27">
        <f>S273/171</f>
        <v>0.96491228070175439</v>
      </c>
      <c r="V273" s="27">
        <f t="shared" si="12"/>
        <v>0</v>
      </c>
      <c r="W273" s="11"/>
      <c r="X273" s="11"/>
      <c r="Y273" s="11"/>
      <c r="Z273" s="11"/>
      <c r="AA273" s="20" t="s">
        <v>121</v>
      </c>
      <c r="AB273" s="88"/>
      <c r="AC273" s="22"/>
      <c r="AD273" s="44"/>
      <c r="AE273" s="88"/>
    </row>
    <row r="274" spans="1:31" ht="50" hidden="1">
      <c r="A274" s="56"/>
      <c r="B274" s="48"/>
      <c r="C274" s="59" t="s">
        <v>491</v>
      </c>
      <c r="D274" s="59" t="s">
        <v>481</v>
      </c>
      <c r="E274" s="20"/>
      <c r="F274" s="51"/>
      <c r="G274" s="59"/>
      <c r="H274" s="59"/>
      <c r="I274" s="20" t="s">
        <v>492</v>
      </c>
      <c r="J274" s="51">
        <v>300000</v>
      </c>
      <c r="K274" s="61">
        <v>9</v>
      </c>
      <c r="L274" s="41">
        <v>0</v>
      </c>
      <c r="M274" s="20">
        <v>7</v>
      </c>
      <c r="N274" s="82">
        <v>0</v>
      </c>
      <c r="O274" s="86"/>
      <c r="P274" s="86"/>
      <c r="Q274" s="20"/>
      <c r="R274" s="80"/>
      <c r="S274" s="87">
        <f t="shared" ref="S274:T274" si="241">K274+M274+O274+Q274</f>
        <v>16</v>
      </c>
      <c r="T274" s="18">
        <f t="shared" si="241"/>
        <v>0</v>
      </c>
      <c r="U274" s="27">
        <f>S274/40</f>
        <v>0.4</v>
      </c>
      <c r="V274" s="27">
        <f t="shared" si="12"/>
        <v>0</v>
      </c>
      <c r="W274" s="11"/>
      <c r="X274" s="11"/>
      <c r="Y274" s="11"/>
      <c r="Z274" s="11"/>
      <c r="AA274" s="20" t="s">
        <v>124</v>
      </c>
      <c r="AB274" s="88"/>
      <c r="AC274" s="22"/>
      <c r="AD274" s="44"/>
      <c r="AE274" s="88"/>
    </row>
    <row r="275" spans="1:31" ht="50" hidden="1">
      <c r="A275" s="56"/>
      <c r="B275" s="48"/>
      <c r="C275" s="59" t="s">
        <v>493</v>
      </c>
      <c r="D275" s="59" t="s">
        <v>481</v>
      </c>
      <c r="E275" s="20"/>
      <c r="F275" s="51"/>
      <c r="G275" s="59"/>
      <c r="H275" s="59"/>
      <c r="I275" s="20" t="s">
        <v>494</v>
      </c>
      <c r="J275" s="51">
        <v>600000</v>
      </c>
      <c r="K275" s="61">
        <v>5</v>
      </c>
      <c r="L275" s="41">
        <v>0</v>
      </c>
      <c r="M275" s="20">
        <v>2</v>
      </c>
      <c r="N275" s="82">
        <v>120000</v>
      </c>
      <c r="O275" s="86"/>
      <c r="P275" s="86"/>
      <c r="Q275" s="20"/>
      <c r="R275" s="80"/>
      <c r="S275" s="87">
        <f t="shared" ref="S275:T275" si="242">K275+M275+O275+Q275</f>
        <v>7</v>
      </c>
      <c r="T275" s="18">
        <f t="shared" si="242"/>
        <v>120000</v>
      </c>
      <c r="U275" s="27">
        <f>S275/86</f>
        <v>8.1395348837209308E-2</v>
      </c>
      <c r="V275" s="27">
        <f t="shared" si="12"/>
        <v>0.2</v>
      </c>
      <c r="W275" s="11"/>
      <c r="X275" s="11"/>
      <c r="Y275" s="11"/>
      <c r="Z275" s="11"/>
      <c r="AA275" s="20" t="s">
        <v>127</v>
      </c>
      <c r="AB275" s="88"/>
      <c r="AC275" s="22"/>
      <c r="AD275" s="44"/>
      <c r="AE275" s="88"/>
    </row>
    <row r="276" spans="1:31" ht="50">
      <c r="A276" s="56"/>
      <c r="B276" s="48"/>
      <c r="C276" s="59" t="s">
        <v>495</v>
      </c>
      <c r="D276" s="59" t="s">
        <v>481</v>
      </c>
      <c r="E276" s="20"/>
      <c r="F276" s="51"/>
      <c r="G276" s="59"/>
      <c r="H276" s="59"/>
      <c r="I276" s="20" t="s">
        <v>496</v>
      </c>
      <c r="J276" s="51">
        <v>636000</v>
      </c>
      <c r="K276" s="61">
        <v>9</v>
      </c>
      <c r="L276" s="41">
        <v>0</v>
      </c>
      <c r="M276" s="20">
        <v>5</v>
      </c>
      <c r="N276" s="82">
        <v>0</v>
      </c>
      <c r="O276" s="86">
        <v>44</v>
      </c>
      <c r="P276" s="86">
        <v>145000</v>
      </c>
      <c r="Q276" s="20">
        <v>12</v>
      </c>
      <c r="R276" s="80"/>
      <c r="S276" s="87">
        <f t="shared" ref="S276:T276" si="243">K276+M276+O276+Q276</f>
        <v>70</v>
      </c>
      <c r="T276" s="18">
        <f t="shared" si="243"/>
        <v>145000</v>
      </c>
      <c r="U276" s="27">
        <f>S276/28</f>
        <v>2.5</v>
      </c>
      <c r="V276" s="27">
        <f t="shared" si="12"/>
        <v>0.2279874213836478</v>
      </c>
      <c r="W276" s="11"/>
      <c r="X276" s="11"/>
      <c r="Y276" s="11"/>
      <c r="Z276" s="11"/>
      <c r="AA276" s="20" t="s">
        <v>130</v>
      </c>
      <c r="AB276" s="88"/>
      <c r="AC276" s="22"/>
      <c r="AD276" s="44"/>
      <c r="AE276" s="88"/>
    </row>
    <row r="277" spans="1:31" ht="50" hidden="1">
      <c r="A277" s="56"/>
      <c r="B277" s="48"/>
      <c r="C277" s="59" t="s">
        <v>497</v>
      </c>
      <c r="D277" s="59" t="s">
        <v>481</v>
      </c>
      <c r="E277" s="20"/>
      <c r="F277" s="51"/>
      <c r="G277" s="59"/>
      <c r="H277" s="59"/>
      <c r="I277" s="20" t="s">
        <v>498</v>
      </c>
      <c r="J277" s="51">
        <v>18000000</v>
      </c>
      <c r="K277" s="61">
        <v>19</v>
      </c>
      <c r="L277" s="41">
        <v>0</v>
      </c>
      <c r="M277" s="20">
        <v>9</v>
      </c>
      <c r="N277" s="82">
        <v>15000</v>
      </c>
      <c r="O277" s="86"/>
      <c r="P277" s="86"/>
      <c r="Q277" s="20"/>
      <c r="R277" s="80"/>
      <c r="S277" s="87">
        <f t="shared" ref="S277:T277" si="244">K277+M277+O277+Q277</f>
        <v>28</v>
      </c>
      <c r="T277" s="18">
        <f t="shared" si="244"/>
        <v>15000</v>
      </c>
      <c r="U277" s="27">
        <f>S277/231</f>
        <v>0.12121212121212122</v>
      </c>
      <c r="V277" s="27">
        <f t="shared" si="12"/>
        <v>8.3333333333333339E-4</v>
      </c>
      <c r="W277" s="11"/>
      <c r="X277" s="11"/>
      <c r="Y277" s="11"/>
      <c r="Z277" s="11"/>
      <c r="AA277" s="20" t="s">
        <v>133</v>
      </c>
      <c r="AB277" s="88"/>
      <c r="AC277" s="22"/>
      <c r="AD277" s="44"/>
      <c r="AE277" s="88"/>
    </row>
    <row r="278" spans="1:31" ht="50" hidden="1">
      <c r="A278" s="56"/>
      <c r="B278" s="48"/>
      <c r="C278" s="59" t="s">
        <v>499</v>
      </c>
      <c r="D278" s="59" t="s">
        <v>481</v>
      </c>
      <c r="E278" s="20"/>
      <c r="F278" s="51"/>
      <c r="G278" s="59"/>
      <c r="H278" s="59"/>
      <c r="I278" s="20" t="s">
        <v>500</v>
      </c>
      <c r="J278" s="51">
        <v>600000</v>
      </c>
      <c r="K278" s="61">
        <v>12</v>
      </c>
      <c r="L278" s="41">
        <v>0</v>
      </c>
      <c r="M278" s="20">
        <v>8</v>
      </c>
      <c r="N278" s="82">
        <v>0</v>
      </c>
      <c r="O278" s="86"/>
      <c r="P278" s="86"/>
      <c r="Q278" s="20"/>
      <c r="R278" s="80"/>
      <c r="S278" s="87">
        <f t="shared" ref="S278:T278" si="245">K278+M278+O278+Q278</f>
        <v>20</v>
      </c>
      <c r="T278" s="18">
        <f t="shared" si="245"/>
        <v>0</v>
      </c>
      <c r="U278" s="27">
        <f>S278/218</f>
        <v>9.1743119266055051E-2</v>
      </c>
      <c r="V278" s="27">
        <f t="shared" si="12"/>
        <v>0</v>
      </c>
      <c r="W278" s="11"/>
      <c r="X278" s="11"/>
      <c r="Y278" s="11"/>
      <c r="Z278" s="11"/>
      <c r="AA278" s="20" t="s">
        <v>136</v>
      </c>
      <c r="AB278" s="88"/>
      <c r="AC278" s="22"/>
      <c r="AD278" s="44"/>
      <c r="AE278" s="88"/>
    </row>
    <row r="279" spans="1:31" ht="50" hidden="1">
      <c r="A279" s="56"/>
      <c r="B279" s="48"/>
      <c r="C279" s="59" t="s">
        <v>501</v>
      </c>
      <c r="D279" s="59" t="s">
        <v>502</v>
      </c>
      <c r="E279" s="20"/>
      <c r="F279" s="51"/>
      <c r="G279" s="59"/>
      <c r="H279" s="59"/>
      <c r="I279" s="20" t="s">
        <v>503</v>
      </c>
      <c r="J279" s="51">
        <v>200000</v>
      </c>
      <c r="K279" s="61">
        <v>8</v>
      </c>
      <c r="L279" s="41">
        <v>0</v>
      </c>
      <c r="M279" s="20">
        <v>5</v>
      </c>
      <c r="N279" s="82">
        <v>100000</v>
      </c>
      <c r="O279" s="86"/>
      <c r="P279" s="86"/>
      <c r="Q279" s="20"/>
      <c r="R279" s="80"/>
      <c r="S279" s="87">
        <f t="shared" ref="S279:T279" si="246">K279+M279+O279+Q279</f>
        <v>13</v>
      </c>
      <c r="T279" s="18">
        <f t="shared" si="246"/>
        <v>100000</v>
      </c>
      <c r="U279" s="27">
        <f>S279/179</f>
        <v>7.2625698324022353E-2</v>
      </c>
      <c r="V279" s="27">
        <f t="shared" si="12"/>
        <v>0.5</v>
      </c>
      <c r="W279" s="11"/>
      <c r="X279" s="11"/>
      <c r="Y279" s="11"/>
      <c r="Z279" s="11"/>
      <c r="AA279" s="20" t="s">
        <v>139</v>
      </c>
      <c r="AB279" s="88"/>
      <c r="AC279" s="22"/>
      <c r="AD279" s="44"/>
      <c r="AE279" s="88"/>
    </row>
    <row r="280" spans="1:31" ht="50" hidden="1">
      <c r="A280" s="56"/>
      <c r="B280" s="48"/>
      <c r="C280" s="59" t="s">
        <v>504</v>
      </c>
      <c r="D280" s="59" t="s">
        <v>502</v>
      </c>
      <c r="E280" s="20"/>
      <c r="F280" s="51"/>
      <c r="G280" s="59"/>
      <c r="H280" s="59"/>
      <c r="I280" s="20" t="s">
        <v>505</v>
      </c>
      <c r="J280" s="51">
        <v>15000000</v>
      </c>
      <c r="K280" s="61">
        <v>10</v>
      </c>
      <c r="L280" s="41">
        <v>0</v>
      </c>
      <c r="M280" s="20">
        <v>7</v>
      </c>
      <c r="N280" s="82">
        <v>0</v>
      </c>
      <c r="O280" s="86"/>
      <c r="P280" s="86"/>
      <c r="Q280" s="20"/>
      <c r="R280" s="80"/>
      <c r="S280" s="87">
        <f t="shared" ref="S280:T280" si="247">K280+M280+O280+Q280</f>
        <v>17</v>
      </c>
      <c r="T280" s="18">
        <f t="shared" si="247"/>
        <v>0</v>
      </c>
      <c r="U280" s="27">
        <f t="shared" ref="U280:U281" si="248">S280/50</f>
        <v>0.34</v>
      </c>
      <c r="V280" s="27">
        <f t="shared" si="12"/>
        <v>0</v>
      </c>
      <c r="W280" s="11"/>
      <c r="X280" s="11"/>
      <c r="Y280" s="11"/>
      <c r="Z280" s="11"/>
      <c r="AA280" s="20" t="s">
        <v>142</v>
      </c>
      <c r="AB280" s="88"/>
      <c r="AC280" s="22"/>
      <c r="AD280" s="44"/>
      <c r="AE280" s="88"/>
    </row>
    <row r="281" spans="1:31" ht="50" hidden="1">
      <c r="A281" s="56"/>
      <c r="B281" s="48"/>
      <c r="C281" s="59" t="s">
        <v>506</v>
      </c>
      <c r="D281" s="59" t="s">
        <v>502</v>
      </c>
      <c r="E281" s="20"/>
      <c r="F281" s="51"/>
      <c r="G281" s="59"/>
      <c r="H281" s="59"/>
      <c r="I281" s="20" t="s">
        <v>507</v>
      </c>
      <c r="J281" s="51">
        <v>1000000</v>
      </c>
      <c r="K281" s="61">
        <v>14</v>
      </c>
      <c r="L281" s="41">
        <v>0</v>
      </c>
      <c r="M281" s="20">
        <v>6</v>
      </c>
      <c r="N281" s="82">
        <v>0</v>
      </c>
      <c r="O281" s="86"/>
      <c r="P281" s="86"/>
      <c r="Q281" s="20"/>
      <c r="R281" s="80"/>
      <c r="S281" s="87">
        <f t="shared" ref="S281:T281" si="249">K281+M281+O281+Q281</f>
        <v>20</v>
      </c>
      <c r="T281" s="18">
        <f t="shared" si="249"/>
        <v>0</v>
      </c>
      <c r="U281" s="27">
        <f t="shared" si="248"/>
        <v>0.4</v>
      </c>
      <c r="V281" s="27">
        <f t="shared" si="12"/>
        <v>0</v>
      </c>
      <c r="W281" s="11"/>
      <c r="X281" s="11"/>
      <c r="Y281" s="11"/>
      <c r="Z281" s="11"/>
      <c r="AA281" s="20" t="s">
        <v>145</v>
      </c>
      <c r="AB281" s="88"/>
      <c r="AC281" s="22"/>
      <c r="AD281" s="44"/>
      <c r="AE281" s="88"/>
    </row>
    <row r="282" spans="1:31" ht="50" hidden="1">
      <c r="A282" s="56"/>
      <c r="B282" s="48"/>
      <c r="C282" s="59" t="s">
        <v>508</v>
      </c>
      <c r="D282" s="59" t="s">
        <v>502</v>
      </c>
      <c r="E282" s="20"/>
      <c r="F282" s="51"/>
      <c r="G282" s="59"/>
      <c r="H282" s="59"/>
      <c r="I282" s="20" t="s">
        <v>509</v>
      </c>
      <c r="J282" s="51">
        <v>2800000</v>
      </c>
      <c r="K282" s="61">
        <v>5</v>
      </c>
      <c r="L282" s="41">
        <v>0</v>
      </c>
      <c r="M282" s="20">
        <v>7</v>
      </c>
      <c r="N282" s="82">
        <v>0</v>
      </c>
      <c r="O282" s="86"/>
      <c r="P282" s="86"/>
      <c r="Q282" s="20"/>
      <c r="R282" s="80"/>
      <c r="S282" s="87">
        <f t="shared" ref="S282:T282" si="250">K282+M282+O282+Q282</f>
        <v>12</v>
      </c>
      <c r="T282" s="18">
        <f t="shared" si="250"/>
        <v>0</v>
      </c>
      <c r="U282" s="27">
        <f>S282/60</f>
        <v>0.2</v>
      </c>
      <c r="V282" s="27">
        <f t="shared" si="12"/>
        <v>0</v>
      </c>
      <c r="W282" s="11"/>
      <c r="X282" s="11"/>
      <c r="Y282" s="11"/>
      <c r="Z282" s="11"/>
      <c r="AA282" s="20" t="s">
        <v>148</v>
      </c>
      <c r="AB282" s="88"/>
      <c r="AC282" s="22"/>
      <c r="AD282" s="44"/>
      <c r="AE282" s="88"/>
    </row>
    <row r="283" spans="1:31" ht="50" hidden="1">
      <c r="A283" s="56"/>
      <c r="B283" s="48"/>
      <c r="C283" s="59" t="s">
        <v>510</v>
      </c>
      <c r="D283" s="59" t="s">
        <v>502</v>
      </c>
      <c r="E283" s="20"/>
      <c r="F283" s="51"/>
      <c r="G283" s="59"/>
      <c r="H283" s="59"/>
      <c r="I283" s="20" t="s">
        <v>511</v>
      </c>
      <c r="J283" s="51">
        <v>2400000</v>
      </c>
      <c r="K283" s="61">
        <v>8</v>
      </c>
      <c r="L283" s="41">
        <v>0</v>
      </c>
      <c r="M283" s="20">
        <v>4</v>
      </c>
      <c r="N283" s="82">
        <v>50000</v>
      </c>
      <c r="O283" s="86"/>
      <c r="P283" s="86"/>
      <c r="Q283" s="20"/>
      <c r="R283" s="80"/>
      <c r="S283" s="87">
        <f t="shared" ref="S283:T283" si="251">K283+M283+O283+Q283</f>
        <v>12</v>
      </c>
      <c r="T283" s="18">
        <f t="shared" si="251"/>
        <v>50000</v>
      </c>
      <c r="U283" s="27">
        <f>S283/75</f>
        <v>0.16</v>
      </c>
      <c r="V283" s="27">
        <f t="shared" si="12"/>
        <v>2.0833333333333332E-2</v>
      </c>
      <c r="W283" s="11"/>
      <c r="X283" s="11"/>
      <c r="Y283" s="11"/>
      <c r="Z283" s="11"/>
      <c r="AA283" s="20" t="s">
        <v>151</v>
      </c>
      <c r="AB283" s="88"/>
      <c r="AC283" s="22"/>
      <c r="AD283" s="44"/>
      <c r="AE283" s="88"/>
    </row>
    <row r="284" spans="1:31" ht="50" hidden="1">
      <c r="A284" s="56"/>
      <c r="B284" s="48"/>
      <c r="C284" s="59" t="s">
        <v>512</v>
      </c>
      <c r="D284" s="59" t="s">
        <v>502</v>
      </c>
      <c r="E284" s="20"/>
      <c r="F284" s="51"/>
      <c r="G284" s="59"/>
      <c r="H284" s="59"/>
      <c r="I284" s="20" t="s">
        <v>513</v>
      </c>
      <c r="J284" s="51">
        <v>200000</v>
      </c>
      <c r="K284" s="61">
        <v>9</v>
      </c>
      <c r="L284" s="41">
        <v>0</v>
      </c>
      <c r="M284" s="20">
        <v>2</v>
      </c>
      <c r="N284" s="82">
        <v>0</v>
      </c>
      <c r="O284" s="86"/>
      <c r="P284" s="86"/>
      <c r="Q284" s="20"/>
      <c r="R284" s="80"/>
      <c r="S284" s="87">
        <f t="shared" ref="S284:T284" si="252">K284+M284+O284+Q284</f>
        <v>11</v>
      </c>
      <c r="T284" s="18">
        <f t="shared" si="252"/>
        <v>0</v>
      </c>
      <c r="U284" s="27">
        <f>S284/22</f>
        <v>0.5</v>
      </c>
      <c r="V284" s="27">
        <f t="shared" si="12"/>
        <v>0</v>
      </c>
      <c r="W284" s="11"/>
      <c r="X284" s="11"/>
      <c r="Y284" s="11"/>
      <c r="Z284" s="11"/>
      <c r="AA284" s="20" t="s">
        <v>154</v>
      </c>
      <c r="AB284" s="88"/>
      <c r="AC284" s="22"/>
      <c r="AD284" s="44"/>
      <c r="AE284" s="88"/>
    </row>
    <row r="285" spans="1:31" ht="50" hidden="1">
      <c r="A285" s="56"/>
      <c r="B285" s="48"/>
      <c r="C285" s="59" t="s">
        <v>514</v>
      </c>
      <c r="D285" s="59" t="s">
        <v>502</v>
      </c>
      <c r="E285" s="20"/>
      <c r="F285" s="51"/>
      <c r="G285" s="59"/>
      <c r="H285" s="59"/>
      <c r="I285" s="20" t="s">
        <v>515</v>
      </c>
      <c r="J285" s="51">
        <v>400000</v>
      </c>
      <c r="K285" s="61">
        <v>8</v>
      </c>
      <c r="L285" s="41">
        <v>0</v>
      </c>
      <c r="M285" s="20">
        <v>3</v>
      </c>
      <c r="N285" s="82">
        <v>0</v>
      </c>
      <c r="O285" s="86"/>
      <c r="P285" s="86"/>
      <c r="Q285" s="20"/>
      <c r="R285" s="80"/>
      <c r="S285" s="87">
        <f t="shared" ref="S285:T285" si="253">K285+M285+O285+Q285</f>
        <v>11</v>
      </c>
      <c r="T285" s="18">
        <f t="shared" si="253"/>
        <v>0</v>
      </c>
      <c r="U285" s="27">
        <f>S285/113</f>
        <v>9.7345132743362831E-2</v>
      </c>
      <c r="V285" s="27">
        <f t="shared" si="12"/>
        <v>0</v>
      </c>
      <c r="W285" s="11"/>
      <c r="X285" s="11"/>
      <c r="Y285" s="11"/>
      <c r="Z285" s="11"/>
      <c r="AA285" s="20" t="s">
        <v>157</v>
      </c>
      <c r="AB285" s="88"/>
      <c r="AC285" s="22"/>
      <c r="AD285" s="44"/>
      <c r="AE285" s="88"/>
    </row>
    <row r="286" spans="1:31" ht="50" hidden="1">
      <c r="A286" s="56"/>
      <c r="B286" s="48"/>
      <c r="C286" s="59" t="s">
        <v>516</v>
      </c>
      <c r="D286" s="59" t="s">
        <v>517</v>
      </c>
      <c r="E286" s="20" t="s">
        <v>518</v>
      </c>
      <c r="F286" s="51">
        <v>355085900</v>
      </c>
      <c r="G286" s="59"/>
      <c r="H286" s="59"/>
      <c r="I286" s="20" t="s">
        <v>519</v>
      </c>
      <c r="J286" s="51">
        <v>75000000</v>
      </c>
      <c r="K286" s="61">
        <v>125</v>
      </c>
      <c r="L286" s="41">
        <v>0</v>
      </c>
      <c r="M286" s="20">
        <v>83</v>
      </c>
      <c r="N286" s="82">
        <v>0</v>
      </c>
      <c r="O286" s="86"/>
      <c r="P286" s="86">
        <v>0</v>
      </c>
      <c r="Q286" s="20"/>
      <c r="R286" s="80"/>
      <c r="S286" s="87">
        <f t="shared" ref="S286:T286" si="254">K286+M286+O286+Q286</f>
        <v>208</v>
      </c>
      <c r="T286" s="18">
        <f t="shared" si="254"/>
        <v>0</v>
      </c>
      <c r="U286" s="27">
        <f>S286/1600</f>
        <v>0.13</v>
      </c>
      <c r="V286" s="27">
        <f t="shared" si="12"/>
        <v>0</v>
      </c>
      <c r="W286" s="11"/>
      <c r="X286" s="11"/>
      <c r="Y286" s="11"/>
      <c r="Z286" s="11"/>
      <c r="AA286" s="20" t="s">
        <v>56</v>
      </c>
      <c r="AB286" s="88"/>
      <c r="AC286" s="22"/>
      <c r="AD286" s="44"/>
      <c r="AE286" s="88"/>
    </row>
    <row r="287" spans="1:31" ht="50" hidden="1">
      <c r="A287" s="56"/>
      <c r="B287" s="48"/>
      <c r="C287" s="59" t="s">
        <v>520</v>
      </c>
      <c r="D287" s="59" t="s">
        <v>517</v>
      </c>
      <c r="E287" s="20"/>
      <c r="F287" s="51"/>
      <c r="G287" s="59"/>
      <c r="H287" s="59"/>
      <c r="I287" s="20" t="s">
        <v>521</v>
      </c>
      <c r="J287" s="51">
        <v>900000</v>
      </c>
      <c r="K287" s="61">
        <v>0</v>
      </c>
      <c r="L287" s="41">
        <v>0</v>
      </c>
      <c r="M287" s="20">
        <v>0</v>
      </c>
      <c r="N287" s="82">
        <v>0</v>
      </c>
      <c r="O287" s="86"/>
      <c r="P287" s="86"/>
      <c r="Q287" s="20"/>
      <c r="R287" s="80"/>
      <c r="S287" s="87">
        <f t="shared" ref="S287:T287" si="255">K287+M287+O287+Q287</f>
        <v>0</v>
      </c>
      <c r="T287" s="18">
        <f t="shared" si="255"/>
        <v>0</v>
      </c>
      <c r="U287" s="27">
        <f>S287/4</f>
        <v>0</v>
      </c>
      <c r="V287" s="27">
        <f t="shared" si="12"/>
        <v>0</v>
      </c>
      <c r="W287" s="11"/>
      <c r="X287" s="11"/>
      <c r="Y287" s="11"/>
      <c r="Z287" s="11"/>
      <c r="AA287" s="20" t="s">
        <v>112</v>
      </c>
      <c r="AB287" s="88"/>
      <c r="AC287" s="22"/>
      <c r="AD287" s="44"/>
      <c r="AE287" s="88"/>
    </row>
    <row r="288" spans="1:31" ht="50" hidden="1">
      <c r="A288" s="56"/>
      <c r="B288" s="48"/>
      <c r="C288" s="59" t="s">
        <v>522</v>
      </c>
      <c r="D288" s="59" t="s">
        <v>517</v>
      </c>
      <c r="E288" s="20"/>
      <c r="F288" s="51"/>
      <c r="G288" s="59"/>
      <c r="H288" s="59"/>
      <c r="I288" s="20" t="s">
        <v>523</v>
      </c>
      <c r="J288" s="51">
        <v>400000</v>
      </c>
      <c r="K288" s="61">
        <v>4</v>
      </c>
      <c r="L288" s="41">
        <v>0</v>
      </c>
      <c r="M288" s="20">
        <v>0</v>
      </c>
      <c r="N288" s="82">
        <v>0</v>
      </c>
      <c r="O288" s="86"/>
      <c r="P288" s="86"/>
      <c r="Q288" s="20"/>
      <c r="R288" s="80"/>
      <c r="S288" s="87">
        <f t="shared" ref="S288:T288" si="256">K288+M288+O288+Q288</f>
        <v>4</v>
      </c>
      <c r="T288" s="18">
        <f t="shared" si="256"/>
        <v>0</v>
      </c>
      <c r="U288" s="27">
        <v>1</v>
      </c>
      <c r="V288" s="27">
        <f t="shared" si="12"/>
        <v>0</v>
      </c>
      <c r="W288" s="11"/>
      <c r="X288" s="11"/>
      <c r="Y288" s="11"/>
      <c r="Z288" s="11"/>
      <c r="AA288" s="20" t="s">
        <v>133</v>
      </c>
      <c r="AB288" s="88"/>
      <c r="AC288" s="22"/>
      <c r="AD288" s="44"/>
      <c r="AE288" s="88"/>
    </row>
    <row r="289" spans="1:31" ht="50" hidden="1">
      <c r="A289" s="56"/>
      <c r="B289" s="48"/>
      <c r="C289" s="59" t="s">
        <v>524</v>
      </c>
      <c r="D289" s="59" t="s">
        <v>525</v>
      </c>
      <c r="E289" s="20"/>
      <c r="F289" s="51"/>
      <c r="G289" s="59"/>
      <c r="H289" s="59"/>
      <c r="I289" s="20" t="s">
        <v>526</v>
      </c>
      <c r="J289" s="51">
        <v>200000</v>
      </c>
      <c r="K289" s="61">
        <v>8</v>
      </c>
      <c r="L289" s="41">
        <v>0</v>
      </c>
      <c r="M289" s="20">
        <v>8</v>
      </c>
      <c r="N289" s="82">
        <v>0</v>
      </c>
      <c r="O289" s="86"/>
      <c r="P289" s="86"/>
      <c r="Q289" s="20"/>
      <c r="R289" s="80"/>
      <c r="S289" s="87">
        <f t="shared" ref="S289:T289" si="257">K289+M289+O289+Q289</f>
        <v>16</v>
      </c>
      <c r="T289" s="18">
        <f t="shared" si="257"/>
        <v>0</v>
      </c>
      <c r="U289" s="27">
        <v>1</v>
      </c>
      <c r="V289" s="27">
        <f t="shared" si="12"/>
        <v>0</v>
      </c>
      <c r="W289" s="11"/>
      <c r="X289" s="11"/>
      <c r="Y289" s="11"/>
      <c r="Z289" s="11"/>
      <c r="AA289" s="20" t="s">
        <v>139</v>
      </c>
      <c r="AB289" s="88"/>
      <c r="AC289" s="22"/>
      <c r="AD289" s="44"/>
      <c r="AE289" s="88"/>
    </row>
    <row r="290" spans="1:31" ht="50" hidden="1">
      <c r="A290" s="56"/>
      <c r="B290" s="48"/>
      <c r="C290" s="59" t="s">
        <v>527</v>
      </c>
      <c r="D290" s="59" t="s">
        <v>525</v>
      </c>
      <c r="E290" s="20"/>
      <c r="F290" s="51"/>
      <c r="G290" s="59"/>
      <c r="H290" s="59"/>
      <c r="I290" s="20" t="s">
        <v>528</v>
      </c>
      <c r="J290" s="51">
        <v>1600000</v>
      </c>
      <c r="K290" s="61">
        <v>24</v>
      </c>
      <c r="L290" s="41">
        <v>0</v>
      </c>
      <c r="M290" s="20">
        <v>0</v>
      </c>
      <c r="N290" s="82">
        <v>0</v>
      </c>
      <c r="O290" s="86"/>
      <c r="P290" s="86"/>
      <c r="Q290" s="20"/>
      <c r="R290" s="80"/>
      <c r="S290" s="87">
        <f t="shared" ref="S290:T290" si="258">K290+M290+O290+Q290</f>
        <v>24</v>
      </c>
      <c r="T290" s="18">
        <f t="shared" si="258"/>
        <v>0</v>
      </c>
      <c r="U290" s="27">
        <v>1</v>
      </c>
      <c r="V290" s="27">
        <f t="shared" si="12"/>
        <v>0</v>
      </c>
      <c r="W290" s="11"/>
      <c r="X290" s="11"/>
      <c r="Y290" s="11"/>
      <c r="Z290" s="11"/>
      <c r="AA290" s="20" t="s">
        <v>142</v>
      </c>
      <c r="AB290" s="88"/>
      <c r="AC290" s="22"/>
      <c r="AD290" s="44"/>
      <c r="AE290" s="88"/>
    </row>
    <row r="291" spans="1:31" ht="50" hidden="1">
      <c r="A291" s="56"/>
      <c r="B291" s="48"/>
      <c r="C291" s="59" t="s">
        <v>529</v>
      </c>
      <c r="D291" s="59" t="s">
        <v>525</v>
      </c>
      <c r="E291" s="20"/>
      <c r="F291" s="51"/>
      <c r="G291" s="59"/>
      <c r="H291" s="59"/>
      <c r="I291" s="20" t="s">
        <v>530</v>
      </c>
      <c r="J291" s="51">
        <v>1000000</v>
      </c>
      <c r="K291" s="61">
        <v>48</v>
      </c>
      <c r="L291" s="41">
        <v>0</v>
      </c>
      <c r="M291" s="20">
        <v>72</v>
      </c>
      <c r="N291" s="82">
        <v>0</v>
      </c>
      <c r="O291" s="86"/>
      <c r="P291" s="86"/>
      <c r="Q291" s="20"/>
      <c r="R291" s="80"/>
      <c r="S291" s="87">
        <f t="shared" ref="S291:T291" si="259">K291+M291+O291+Q291</f>
        <v>120</v>
      </c>
      <c r="T291" s="18">
        <f t="shared" si="259"/>
        <v>0</v>
      </c>
      <c r="U291" s="27">
        <v>1</v>
      </c>
      <c r="V291" s="27">
        <f t="shared" si="12"/>
        <v>0</v>
      </c>
      <c r="W291" s="11"/>
      <c r="X291" s="11"/>
      <c r="Y291" s="11"/>
      <c r="Z291" s="11"/>
      <c r="AA291" s="20" t="s">
        <v>145</v>
      </c>
      <c r="AB291" s="88"/>
      <c r="AC291" s="22"/>
      <c r="AD291" s="44"/>
      <c r="AE291" s="88"/>
    </row>
    <row r="292" spans="1:31" ht="50" hidden="1">
      <c r="A292" s="56"/>
      <c r="B292" s="48"/>
      <c r="C292" s="59" t="s">
        <v>531</v>
      </c>
      <c r="D292" s="59" t="s">
        <v>525</v>
      </c>
      <c r="E292" s="20"/>
      <c r="F292" s="51"/>
      <c r="G292" s="59"/>
      <c r="H292" s="59"/>
      <c r="I292" s="20" t="s">
        <v>268</v>
      </c>
      <c r="J292" s="51">
        <v>500000</v>
      </c>
      <c r="K292" s="61">
        <v>25</v>
      </c>
      <c r="L292" s="41">
        <v>0</v>
      </c>
      <c r="M292" s="20">
        <v>16</v>
      </c>
      <c r="N292" s="82">
        <v>0</v>
      </c>
      <c r="O292" s="86"/>
      <c r="P292" s="86"/>
      <c r="Q292" s="20"/>
      <c r="R292" s="80"/>
      <c r="S292" s="87">
        <f t="shared" ref="S292:T292" si="260">K292+M292+O292+Q292</f>
        <v>41</v>
      </c>
      <c r="T292" s="18">
        <f t="shared" si="260"/>
        <v>0</v>
      </c>
      <c r="U292" s="27">
        <v>1</v>
      </c>
      <c r="V292" s="27">
        <f t="shared" si="12"/>
        <v>0</v>
      </c>
      <c r="W292" s="11"/>
      <c r="X292" s="11"/>
      <c r="Y292" s="11"/>
      <c r="Z292" s="11"/>
      <c r="AA292" s="20" t="s">
        <v>148</v>
      </c>
      <c r="AB292" s="88"/>
      <c r="AC292" s="22"/>
      <c r="AD292" s="44"/>
      <c r="AE292" s="88"/>
    </row>
    <row r="293" spans="1:31" ht="50" hidden="1">
      <c r="A293" s="56"/>
      <c r="B293" s="48"/>
      <c r="C293" s="59" t="s">
        <v>532</v>
      </c>
      <c r="D293" s="59" t="s">
        <v>525</v>
      </c>
      <c r="E293" s="20"/>
      <c r="F293" s="51"/>
      <c r="G293" s="59"/>
      <c r="H293" s="59"/>
      <c r="I293" s="20" t="s">
        <v>268</v>
      </c>
      <c r="J293" s="51">
        <v>600000</v>
      </c>
      <c r="K293" s="61">
        <v>17</v>
      </c>
      <c r="L293" s="41">
        <v>0</v>
      </c>
      <c r="M293" s="20">
        <v>3</v>
      </c>
      <c r="N293" s="82">
        <v>25000</v>
      </c>
      <c r="O293" s="86"/>
      <c r="P293" s="86"/>
      <c r="Q293" s="20"/>
      <c r="R293" s="80"/>
      <c r="S293" s="87">
        <f t="shared" ref="S293:T293" si="261">K293+M293+O293+Q293</f>
        <v>20</v>
      </c>
      <c r="T293" s="18">
        <f t="shared" si="261"/>
        <v>25000</v>
      </c>
      <c r="U293" s="27">
        <f>S293/20</f>
        <v>1</v>
      </c>
      <c r="V293" s="27">
        <f t="shared" si="12"/>
        <v>4.1666666666666664E-2</v>
      </c>
      <c r="W293" s="11"/>
      <c r="X293" s="11"/>
      <c r="Y293" s="11"/>
      <c r="Z293" s="11"/>
      <c r="AA293" s="20" t="s">
        <v>151</v>
      </c>
      <c r="AB293" s="88"/>
      <c r="AC293" s="22"/>
      <c r="AD293" s="44"/>
      <c r="AE293" s="88"/>
    </row>
    <row r="294" spans="1:31" ht="50" hidden="1">
      <c r="A294" s="56"/>
      <c r="B294" s="48"/>
      <c r="C294" s="59" t="s">
        <v>533</v>
      </c>
      <c r="D294" s="59" t="s">
        <v>525</v>
      </c>
      <c r="E294" s="20"/>
      <c r="F294" s="51"/>
      <c r="G294" s="59"/>
      <c r="H294" s="59"/>
      <c r="I294" s="20" t="s">
        <v>534</v>
      </c>
      <c r="J294" s="51">
        <v>200000</v>
      </c>
      <c r="K294" s="61">
        <v>3</v>
      </c>
      <c r="L294" s="41">
        <v>0</v>
      </c>
      <c r="M294" s="20">
        <v>5</v>
      </c>
      <c r="N294" s="82">
        <v>0</v>
      </c>
      <c r="O294" s="86"/>
      <c r="P294" s="86"/>
      <c r="Q294" s="20"/>
      <c r="R294" s="80"/>
      <c r="S294" s="87">
        <f t="shared" ref="S294:T294" si="262">K294+M294+O294+Q294</f>
        <v>8</v>
      </c>
      <c r="T294" s="18">
        <f t="shared" si="262"/>
        <v>0</v>
      </c>
      <c r="U294" s="27">
        <v>1</v>
      </c>
      <c r="V294" s="27">
        <f t="shared" si="12"/>
        <v>0</v>
      </c>
      <c r="W294" s="11"/>
      <c r="X294" s="11"/>
      <c r="Y294" s="11"/>
      <c r="Z294" s="11"/>
      <c r="AA294" s="20"/>
      <c r="AB294" s="88"/>
      <c r="AC294" s="22"/>
      <c r="AD294" s="44"/>
      <c r="AE294" s="88"/>
    </row>
    <row r="295" spans="1:31" ht="37.5" hidden="1">
      <c r="A295" s="56"/>
      <c r="B295" s="48"/>
      <c r="C295" s="59" t="s">
        <v>535</v>
      </c>
      <c r="D295" s="59" t="s">
        <v>536</v>
      </c>
      <c r="E295" s="20" t="s">
        <v>537</v>
      </c>
      <c r="F295" s="51">
        <v>304960500</v>
      </c>
      <c r="G295" s="59"/>
      <c r="H295" s="59"/>
      <c r="I295" s="20" t="s">
        <v>538</v>
      </c>
      <c r="J295" s="51">
        <v>83466450</v>
      </c>
      <c r="K295" s="61">
        <v>5</v>
      </c>
      <c r="L295" s="41">
        <v>0</v>
      </c>
      <c r="M295" s="20">
        <v>3</v>
      </c>
      <c r="N295" s="82"/>
      <c r="O295" s="86"/>
      <c r="P295" s="86">
        <f>49550000-L295-N295</f>
        <v>49550000</v>
      </c>
      <c r="Q295" s="20"/>
      <c r="R295" s="80"/>
      <c r="S295" s="87">
        <f t="shared" ref="S295:T295" si="263">K295+M295+O295+Q295</f>
        <v>8</v>
      </c>
      <c r="T295" s="18">
        <f t="shared" si="263"/>
        <v>49550000</v>
      </c>
      <c r="U295" s="27">
        <f>S295/53</f>
        <v>0.15094339622641509</v>
      </c>
      <c r="V295" s="27">
        <f t="shared" si="12"/>
        <v>0.59365170077318496</v>
      </c>
      <c r="W295" s="11"/>
      <c r="X295" s="11"/>
      <c r="Y295" s="11"/>
      <c r="Z295" s="11"/>
      <c r="AA295" s="20" t="s">
        <v>56</v>
      </c>
      <c r="AB295" s="88"/>
      <c r="AC295" s="22"/>
      <c r="AD295" s="44"/>
      <c r="AE295" s="88"/>
    </row>
    <row r="296" spans="1:31" ht="37.5" hidden="1">
      <c r="A296" s="56"/>
      <c r="B296" s="48"/>
      <c r="C296" s="59" t="s">
        <v>539</v>
      </c>
      <c r="D296" s="59" t="s">
        <v>540</v>
      </c>
      <c r="E296" s="20"/>
      <c r="F296" s="51"/>
      <c r="G296" s="59"/>
      <c r="H296" s="59"/>
      <c r="I296" s="20" t="s">
        <v>312</v>
      </c>
      <c r="J296" s="51">
        <v>39290000</v>
      </c>
      <c r="K296" s="61">
        <v>3</v>
      </c>
      <c r="L296" s="41">
        <v>0</v>
      </c>
      <c r="M296" s="20">
        <v>2</v>
      </c>
      <c r="N296" s="82">
        <v>0</v>
      </c>
      <c r="O296" s="86"/>
      <c r="P296" s="86"/>
      <c r="Q296" s="20"/>
      <c r="R296" s="80"/>
      <c r="S296" s="87">
        <f t="shared" ref="S296:T296" si="264">K296+M296+O296+Q296</f>
        <v>5</v>
      </c>
      <c r="T296" s="18">
        <f t="shared" si="264"/>
        <v>0</v>
      </c>
      <c r="U296" s="27">
        <f t="shared" ref="U296:U310" si="265">S296/12</f>
        <v>0.41666666666666669</v>
      </c>
      <c r="V296" s="27">
        <f t="shared" si="12"/>
        <v>0</v>
      </c>
      <c r="W296" s="11"/>
      <c r="X296" s="11"/>
      <c r="Y296" s="11"/>
      <c r="Z296" s="11"/>
      <c r="AA296" s="20" t="s">
        <v>112</v>
      </c>
      <c r="AB296" s="88"/>
      <c r="AC296" s="22"/>
      <c r="AD296" s="44"/>
      <c r="AE296" s="88"/>
    </row>
    <row r="297" spans="1:31" ht="37.5" hidden="1">
      <c r="A297" s="56"/>
      <c r="B297" s="48"/>
      <c r="C297" s="59" t="s">
        <v>541</v>
      </c>
      <c r="D297" s="59" t="s">
        <v>540</v>
      </c>
      <c r="E297" s="20"/>
      <c r="F297" s="51"/>
      <c r="G297" s="59"/>
      <c r="H297" s="59"/>
      <c r="I297" s="20" t="s">
        <v>312</v>
      </c>
      <c r="J297" s="51">
        <v>4000000</v>
      </c>
      <c r="K297" s="61">
        <v>3</v>
      </c>
      <c r="L297" s="41">
        <v>0</v>
      </c>
      <c r="M297" s="20">
        <v>2</v>
      </c>
      <c r="N297" s="82">
        <v>0</v>
      </c>
      <c r="O297" s="86"/>
      <c r="P297" s="86"/>
      <c r="Q297" s="20"/>
      <c r="R297" s="80"/>
      <c r="S297" s="87">
        <f t="shared" ref="S297:T297" si="266">K297+M297+O297+Q297</f>
        <v>5</v>
      </c>
      <c r="T297" s="18">
        <f t="shared" si="266"/>
        <v>0</v>
      </c>
      <c r="U297" s="27">
        <f t="shared" si="265"/>
        <v>0.41666666666666669</v>
      </c>
      <c r="V297" s="27">
        <f t="shared" si="12"/>
        <v>0</v>
      </c>
      <c r="W297" s="11"/>
      <c r="X297" s="11"/>
      <c r="Y297" s="11"/>
      <c r="Z297" s="11"/>
      <c r="AA297" s="20" t="s">
        <v>115</v>
      </c>
      <c r="AB297" s="88"/>
      <c r="AC297" s="22"/>
      <c r="AD297" s="44"/>
      <c r="AE297" s="88"/>
    </row>
    <row r="298" spans="1:31" ht="37.5" hidden="1">
      <c r="A298" s="56"/>
      <c r="B298" s="48"/>
      <c r="C298" s="59" t="s">
        <v>542</v>
      </c>
      <c r="D298" s="59" t="s">
        <v>540</v>
      </c>
      <c r="E298" s="20"/>
      <c r="F298" s="51"/>
      <c r="G298" s="59"/>
      <c r="H298" s="59"/>
      <c r="I298" s="20" t="s">
        <v>312</v>
      </c>
      <c r="J298" s="51">
        <v>1760000</v>
      </c>
      <c r="K298" s="61">
        <v>3</v>
      </c>
      <c r="L298" s="41">
        <v>0</v>
      </c>
      <c r="M298" s="20">
        <v>2</v>
      </c>
      <c r="N298" s="82">
        <v>1760000</v>
      </c>
      <c r="O298" s="86"/>
      <c r="P298" s="86"/>
      <c r="Q298" s="20"/>
      <c r="R298" s="80"/>
      <c r="S298" s="87">
        <f t="shared" ref="S298:T298" si="267">K298+M298+O298+Q298</f>
        <v>5</v>
      </c>
      <c r="T298" s="18">
        <f t="shared" si="267"/>
        <v>1760000</v>
      </c>
      <c r="U298" s="27">
        <f t="shared" si="265"/>
        <v>0.41666666666666669</v>
      </c>
      <c r="V298" s="27">
        <f t="shared" si="12"/>
        <v>1</v>
      </c>
      <c r="W298" s="11"/>
      <c r="X298" s="11"/>
      <c r="Y298" s="11"/>
      <c r="Z298" s="11"/>
      <c r="AA298" s="20" t="s">
        <v>118</v>
      </c>
      <c r="AB298" s="88"/>
      <c r="AC298" s="22"/>
      <c r="AD298" s="44"/>
      <c r="AE298" s="88"/>
    </row>
    <row r="299" spans="1:31" ht="37.5" hidden="1">
      <c r="A299" s="56"/>
      <c r="B299" s="48"/>
      <c r="C299" s="59" t="s">
        <v>543</v>
      </c>
      <c r="D299" s="59" t="s">
        <v>540</v>
      </c>
      <c r="E299" s="20"/>
      <c r="F299" s="51"/>
      <c r="G299" s="59"/>
      <c r="H299" s="59"/>
      <c r="I299" s="20" t="s">
        <v>312</v>
      </c>
      <c r="J299" s="51">
        <v>16080000</v>
      </c>
      <c r="K299" s="61">
        <v>3</v>
      </c>
      <c r="L299" s="41">
        <v>0</v>
      </c>
      <c r="M299" s="20">
        <v>2</v>
      </c>
      <c r="N299" s="82">
        <v>0</v>
      </c>
      <c r="O299" s="86"/>
      <c r="P299" s="86"/>
      <c r="Q299" s="20"/>
      <c r="R299" s="80"/>
      <c r="S299" s="87">
        <f t="shared" ref="S299:T299" si="268">K299+M299+O299+Q299</f>
        <v>5</v>
      </c>
      <c r="T299" s="18">
        <f t="shared" si="268"/>
        <v>0</v>
      </c>
      <c r="U299" s="27">
        <f t="shared" si="265"/>
        <v>0.41666666666666669</v>
      </c>
      <c r="V299" s="27">
        <f t="shared" si="12"/>
        <v>0</v>
      </c>
      <c r="W299" s="11"/>
      <c r="X299" s="11"/>
      <c r="Y299" s="11"/>
      <c r="Z299" s="11"/>
      <c r="AA299" s="20" t="s">
        <v>121</v>
      </c>
      <c r="AB299" s="88"/>
      <c r="AC299" s="22"/>
      <c r="AD299" s="44"/>
      <c r="AE299" s="88"/>
    </row>
    <row r="300" spans="1:31" ht="37.5" hidden="1">
      <c r="A300" s="56"/>
      <c r="B300" s="48"/>
      <c r="C300" s="59" t="s">
        <v>544</v>
      </c>
      <c r="D300" s="59" t="s">
        <v>540</v>
      </c>
      <c r="E300" s="20"/>
      <c r="F300" s="51"/>
      <c r="G300" s="59"/>
      <c r="H300" s="59"/>
      <c r="I300" s="20" t="s">
        <v>342</v>
      </c>
      <c r="J300" s="51">
        <v>1936000</v>
      </c>
      <c r="K300" s="61">
        <v>3</v>
      </c>
      <c r="L300" s="41">
        <v>0</v>
      </c>
      <c r="M300" s="20">
        <v>3</v>
      </c>
      <c r="N300" s="82">
        <v>0</v>
      </c>
      <c r="O300" s="86"/>
      <c r="P300" s="86"/>
      <c r="Q300" s="20"/>
      <c r="R300" s="80"/>
      <c r="S300" s="87">
        <f t="shared" ref="S300:T300" si="269">K300+M300+O300+Q300</f>
        <v>6</v>
      </c>
      <c r="T300" s="18">
        <f t="shared" si="269"/>
        <v>0</v>
      </c>
      <c r="U300" s="27">
        <f t="shared" si="265"/>
        <v>0.5</v>
      </c>
      <c r="V300" s="27">
        <f t="shared" si="12"/>
        <v>0</v>
      </c>
      <c r="W300" s="11"/>
      <c r="X300" s="11"/>
      <c r="Y300" s="11"/>
      <c r="Z300" s="11"/>
      <c r="AA300" s="20" t="s">
        <v>124</v>
      </c>
      <c r="AB300" s="88"/>
      <c r="AC300" s="22"/>
      <c r="AD300" s="44"/>
      <c r="AE300" s="88"/>
    </row>
    <row r="301" spans="1:31" ht="50" hidden="1">
      <c r="A301" s="56"/>
      <c r="B301" s="48"/>
      <c r="C301" s="59" t="s">
        <v>545</v>
      </c>
      <c r="D301" s="59" t="s">
        <v>540</v>
      </c>
      <c r="E301" s="20"/>
      <c r="F301" s="51"/>
      <c r="G301" s="59"/>
      <c r="H301" s="59"/>
      <c r="I301" s="20" t="s">
        <v>312</v>
      </c>
      <c r="J301" s="51">
        <v>6531000</v>
      </c>
      <c r="K301" s="61">
        <v>3</v>
      </c>
      <c r="L301" s="41">
        <v>0</v>
      </c>
      <c r="M301" s="20">
        <v>2</v>
      </c>
      <c r="N301" s="82">
        <v>2077000</v>
      </c>
      <c r="O301" s="86"/>
      <c r="P301" s="86"/>
      <c r="Q301" s="20"/>
      <c r="R301" s="80"/>
      <c r="S301" s="87">
        <f t="shared" ref="S301:T301" si="270">K301+M301+O301+Q301</f>
        <v>5</v>
      </c>
      <c r="T301" s="18">
        <f t="shared" si="270"/>
        <v>2077000</v>
      </c>
      <c r="U301" s="27">
        <f t="shared" si="265"/>
        <v>0.41666666666666669</v>
      </c>
      <c r="V301" s="27">
        <f t="shared" si="12"/>
        <v>0.31802174245904147</v>
      </c>
      <c r="W301" s="11"/>
      <c r="X301" s="11"/>
      <c r="Y301" s="11"/>
      <c r="Z301" s="11"/>
      <c r="AA301" s="20" t="s">
        <v>127</v>
      </c>
      <c r="AB301" s="88"/>
      <c r="AC301" s="22"/>
      <c r="AD301" s="44"/>
      <c r="AE301" s="88"/>
    </row>
    <row r="302" spans="1:31" ht="37.5">
      <c r="A302" s="56"/>
      <c r="B302" s="48"/>
      <c r="C302" s="59" t="s">
        <v>546</v>
      </c>
      <c r="D302" s="59" t="s">
        <v>540</v>
      </c>
      <c r="E302" s="20"/>
      <c r="F302" s="51"/>
      <c r="G302" s="59"/>
      <c r="H302" s="59"/>
      <c r="I302" s="20" t="s">
        <v>312</v>
      </c>
      <c r="J302" s="51">
        <v>11059200</v>
      </c>
      <c r="K302" s="61">
        <v>3</v>
      </c>
      <c r="L302" s="41">
        <v>0</v>
      </c>
      <c r="M302" s="20">
        <v>3</v>
      </c>
      <c r="N302" s="82">
        <v>2680000</v>
      </c>
      <c r="O302" s="86">
        <v>3</v>
      </c>
      <c r="P302" s="86">
        <v>2680000</v>
      </c>
      <c r="Q302" s="20">
        <v>3</v>
      </c>
      <c r="R302" s="80">
        <v>5660000</v>
      </c>
      <c r="S302" s="87">
        <f t="shared" ref="S302:T302" si="271">K302+M302+O302+Q302</f>
        <v>12</v>
      </c>
      <c r="T302" s="18">
        <f t="shared" si="271"/>
        <v>11020000</v>
      </c>
      <c r="U302" s="27">
        <f t="shared" si="265"/>
        <v>1</v>
      </c>
      <c r="V302" s="27">
        <f t="shared" si="12"/>
        <v>0.99645543981481477</v>
      </c>
      <c r="W302" s="11"/>
      <c r="X302" s="11"/>
      <c r="Y302" s="11"/>
      <c r="Z302" s="11"/>
      <c r="AA302" s="20" t="s">
        <v>130</v>
      </c>
      <c r="AB302" s="88"/>
      <c r="AC302" s="22"/>
      <c r="AD302" s="44"/>
      <c r="AE302" s="88"/>
    </row>
    <row r="303" spans="1:31" ht="50" hidden="1">
      <c r="A303" s="56"/>
      <c r="B303" s="48"/>
      <c r="C303" s="59" t="s">
        <v>547</v>
      </c>
      <c r="D303" s="59" t="s">
        <v>540</v>
      </c>
      <c r="E303" s="20"/>
      <c r="F303" s="51"/>
      <c r="G303" s="59"/>
      <c r="H303" s="59"/>
      <c r="I303" s="20" t="s">
        <v>312</v>
      </c>
      <c r="J303" s="51">
        <v>22640000</v>
      </c>
      <c r="K303" s="61">
        <v>3</v>
      </c>
      <c r="L303" s="41">
        <v>0</v>
      </c>
      <c r="M303" s="20">
        <v>2</v>
      </c>
      <c r="N303" s="82">
        <v>2725000</v>
      </c>
      <c r="O303" s="86"/>
      <c r="P303" s="86"/>
      <c r="Q303" s="20"/>
      <c r="R303" s="80"/>
      <c r="S303" s="87">
        <f t="shared" ref="S303:T303" si="272">K303+M303+O303+Q303</f>
        <v>5</v>
      </c>
      <c r="T303" s="18">
        <f t="shared" si="272"/>
        <v>2725000</v>
      </c>
      <c r="U303" s="27">
        <f t="shared" si="265"/>
        <v>0.41666666666666669</v>
      </c>
      <c r="V303" s="27">
        <f t="shared" si="12"/>
        <v>0.12036219081272084</v>
      </c>
      <c r="W303" s="11"/>
      <c r="X303" s="11"/>
      <c r="Y303" s="11"/>
      <c r="Z303" s="11"/>
      <c r="AA303" s="20" t="s">
        <v>133</v>
      </c>
      <c r="AB303" s="88"/>
      <c r="AC303" s="22"/>
      <c r="AD303" s="44"/>
      <c r="AE303" s="88"/>
    </row>
    <row r="304" spans="1:31" ht="37.5" hidden="1">
      <c r="A304" s="56"/>
      <c r="B304" s="48"/>
      <c r="C304" s="59" t="s">
        <v>548</v>
      </c>
      <c r="D304" s="59" t="s">
        <v>540</v>
      </c>
      <c r="E304" s="20"/>
      <c r="F304" s="51"/>
      <c r="G304" s="59"/>
      <c r="H304" s="59"/>
      <c r="I304" s="20" t="s">
        <v>342</v>
      </c>
      <c r="J304" s="51">
        <v>8840000</v>
      </c>
      <c r="K304" s="61">
        <v>3</v>
      </c>
      <c r="L304" s="41">
        <v>0</v>
      </c>
      <c r="M304" s="20">
        <v>2</v>
      </c>
      <c r="N304" s="82">
        <v>8170000</v>
      </c>
      <c r="O304" s="86"/>
      <c r="P304" s="86"/>
      <c r="Q304" s="20"/>
      <c r="R304" s="80"/>
      <c r="S304" s="87">
        <f t="shared" ref="S304:T304" si="273">K304+M304+O304+Q304</f>
        <v>5</v>
      </c>
      <c r="T304" s="18">
        <f t="shared" si="273"/>
        <v>8170000</v>
      </c>
      <c r="U304" s="27">
        <f t="shared" si="265"/>
        <v>0.41666666666666669</v>
      </c>
      <c r="V304" s="27">
        <f t="shared" si="12"/>
        <v>0.92420814479638014</v>
      </c>
      <c r="W304" s="11"/>
      <c r="X304" s="11"/>
      <c r="Y304" s="11"/>
      <c r="Z304" s="11"/>
      <c r="AA304" s="20" t="s">
        <v>139</v>
      </c>
      <c r="AB304" s="88"/>
      <c r="AC304" s="22"/>
      <c r="AD304" s="44"/>
      <c r="AE304" s="88"/>
    </row>
    <row r="305" spans="1:31" ht="37.5" hidden="1">
      <c r="A305" s="56"/>
      <c r="B305" s="48"/>
      <c r="C305" s="59" t="s">
        <v>549</v>
      </c>
      <c r="D305" s="59" t="s">
        <v>540</v>
      </c>
      <c r="E305" s="20"/>
      <c r="F305" s="51"/>
      <c r="G305" s="59"/>
      <c r="H305" s="59"/>
      <c r="I305" s="20" t="s">
        <v>312</v>
      </c>
      <c r="J305" s="51">
        <v>8840000</v>
      </c>
      <c r="K305" s="61">
        <v>3</v>
      </c>
      <c r="L305" s="41">
        <v>0</v>
      </c>
      <c r="M305" s="20">
        <v>2</v>
      </c>
      <c r="N305" s="82">
        <v>2004000</v>
      </c>
      <c r="O305" s="86"/>
      <c r="P305" s="86"/>
      <c r="Q305" s="20"/>
      <c r="R305" s="80"/>
      <c r="S305" s="87">
        <f t="shared" ref="S305:T305" si="274">K305+M305+O305+Q305</f>
        <v>5</v>
      </c>
      <c r="T305" s="18">
        <f t="shared" si="274"/>
        <v>2004000</v>
      </c>
      <c r="U305" s="27">
        <f t="shared" si="265"/>
        <v>0.41666666666666669</v>
      </c>
      <c r="V305" s="27">
        <f t="shared" si="12"/>
        <v>0.22669683257918552</v>
      </c>
      <c r="W305" s="11"/>
      <c r="X305" s="11"/>
      <c r="Y305" s="11"/>
      <c r="Z305" s="11"/>
      <c r="AA305" s="20" t="s">
        <v>142</v>
      </c>
      <c r="AB305" s="88"/>
      <c r="AC305" s="22"/>
      <c r="AD305" s="44"/>
      <c r="AE305" s="88"/>
    </row>
    <row r="306" spans="1:31" ht="37.5" hidden="1">
      <c r="A306" s="56"/>
      <c r="B306" s="48"/>
      <c r="C306" s="59" t="s">
        <v>550</v>
      </c>
      <c r="D306" s="59" t="s">
        <v>540</v>
      </c>
      <c r="E306" s="20"/>
      <c r="F306" s="51"/>
      <c r="G306" s="59"/>
      <c r="H306" s="59"/>
      <c r="I306" s="20" t="s">
        <v>312</v>
      </c>
      <c r="J306" s="51">
        <v>26316000</v>
      </c>
      <c r="K306" s="61">
        <v>3</v>
      </c>
      <c r="L306" s="41">
        <v>0</v>
      </c>
      <c r="M306" s="20">
        <v>2</v>
      </c>
      <c r="N306" s="82">
        <v>2070000</v>
      </c>
      <c r="O306" s="86"/>
      <c r="P306" s="86"/>
      <c r="Q306" s="20"/>
      <c r="R306" s="80"/>
      <c r="S306" s="87">
        <f t="shared" ref="S306:T306" si="275">K306+M306+O306+Q306</f>
        <v>5</v>
      </c>
      <c r="T306" s="18">
        <f t="shared" si="275"/>
        <v>2070000</v>
      </c>
      <c r="U306" s="27">
        <f t="shared" si="265"/>
        <v>0.41666666666666669</v>
      </c>
      <c r="V306" s="27">
        <f t="shared" si="12"/>
        <v>7.8659370725034206E-2</v>
      </c>
      <c r="W306" s="11"/>
      <c r="X306" s="11"/>
      <c r="Y306" s="11"/>
      <c r="Z306" s="11"/>
      <c r="AA306" s="20" t="s">
        <v>145</v>
      </c>
      <c r="AB306" s="88"/>
      <c r="AC306" s="22"/>
      <c r="AD306" s="44"/>
      <c r="AE306" s="88"/>
    </row>
    <row r="307" spans="1:31" ht="37.5" hidden="1">
      <c r="A307" s="56"/>
      <c r="B307" s="48"/>
      <c r="C307" s="59" t="s">
        <v>551</v>
      </c>
      <c r="D307" s="59" t="s">
        <v>540</v>
      </c>
      <c r="E307" s="20"/>
      <c r="F307" s="51"/>
      <c r="G307" s="59"/>
      <c r="H307" s="59"/>
      <c r="I307" s="20" t="s">
        <v>312</v>
      </c>
      <c r="J307" s="51">
        <v>8105000</v>
      </c>
      <c r="K307" s="61">
        <v>3</v>
      </c>
      <c r="L307" s="41">
        <v>0</v>
      </c>
      <c r="M307" s="20">
        <v>2</v>
      </c>
      <c r="N307" s="82">
        <v>0</v>
      </c>
      <c r="O307" s="86"/>
      <c r="P307" s="86"/>
      <c r="Q307" s="20"/>
      <c r="R307" s="80"/>
      <c r="S307" s="87">
        <f t="shared" ref="S307:T307" si="276">K307+M307+O307+Q307</f>
        <v>5</v>
      </c>
      <c r="T307" s="18">
        <f t="shared" si="276"/>
        <v>0</v>
      </c>
      <c r="U307" s="27">
        <f t="shared" si="265"/>
        <v>0.41666666666666669</v>
      </c>
      <c r="V307" s="27">
        <f t="shared" si="12"/>
        <v>0</v>
      </c>
      <c r="W307" s="11"/>
      <c r="X307" s="11"/>
      <c r="Y307" s="11"/>
      <c r="Z307" s="11"/>
      <c r="AA307" s="20" t="s">
        <v>148</v>
      </c>
      <c r="AB307" s="88"/>
      <c r="AC307" s="22"/>
      <c r="AD307" s="44"/>
      <c r="AE307" s="88"/>
    </row>
    <row r="308" spans="1:31" ht="37.5" hidden="1">
      <c r="A308" s="56"/>
      <c r="B308" s="48"/>
      <c r="C308" s="59" t="s">
        <v>552</v>
      </c>
      <c r="D308" s="59" t="s">
        <v>540</v>
      </c>
      <c r="E308" s="20"/>
      <c r="F308" s="51"/>
      <c r="G308" s="59"/>
      <c r="H308" s="59"/>
      <c r="I308" s="20" t="s">
        <v>312</v>
      </c>
      <c r="J308" s="51">
        <v>31000000</v>
      </c>
      <c r="K308" s="61">
        <v>3</v>
      </c>
      <c r="L308" s="41">
        <v>0</v>
      </c>
      <c r="M308" s="20">
        <v>2</v>
      </c>
      <c r="N308" s="82">
        <v>0</v>
      </c>
      <c r="O308" s="86"/>
      <c r="P308" s="86"/>
      <c r="Q308" s="20"/>
      <c r="R308" s="80"/>
      <c r="S308" s="87">
        <f t="shared" ref="S308:T308" si="277">K308+M308+O308+Q308</f>
        <v>5</v>
      </c>
      <c r="T308" s="18">
        <f t="shared" si="277"/>
        <v>0</v>
      </c>
      <c r="U308" s="27">
        <f t="shared" si="265"/>
        <v>0.41666666666666669</v>
      </c>
      <c r="V308" s="27">
        <f t="shared" si="12"/>
        <v>0</v>
      </c>
      <c r="W308" s="11"/>
      <c r="X308" s="11"/>
      <c r="Y308" s="11"/>
      <c r="Z308" s="11"/>
      <c r="AA308" s="20" t="s">
        <v>151</v>
      </c>
      <c r="AB308" s="88"/>
      <c r="AC308" s="22"/>
      <c r="AD308" s="44"/>
      <c r="AE308" s="88"/>
    </row>
    <row r="309" spans="1:31" ht="37.5" hidden="1">
      <c r="A309" s="56"/>
      <c r="B309" s="48"/>
      <c r="C309" s="59" t="s">
        <v>553</v>
      </c>
      <c r="D309" s="59" t="s">
        <v>540</v>
      </c>
      <c r="E309" s="20"/>
      <c r="F309" s="51"/>
      <c r="G309" s="59"/>
      <c r="H309" s="59"/>
      <c r="I309" s="20" t="s">
        <v>312</v>
      </c>
      <c r="J309" s="90">
        <v>11704000</v>
      </c>
      <c r="K309" s="61">
        <v>3</v>
      </c>
      <c r="L309" s="41">
        <v>0</v>
      </c>
      <c r="M309" s="20">
        <v>2</v>
      </c>
      <c r="N309" s="82">
        <v>0</v>
      </c>
      <c r="O309" s="86"/>
      <c r="P309" s="86"/>
      <c r="Q309" s="20"/>
      <c r="R309" s="80"/>
      <c r="S309" s="87">
        <f t="shared" ref="S309:T309" si="278">K309+M309+O309+Q309</f>
        <v>5</v>
      </c>
      <c r="T309" s="18">
        <f t="shared" si="278"/>
        <v>0</v>
      </c>
      <c r="U309" s="27">
        <f t="shared" si="265"/>
        <v>0.41666666666666669</v>
      </c>
      <c r="V309" s="27">
        <f t="shared" si="12"/>
        <v>0</v>
      </c>
      <c r="W309" s="11"/>
      <c r="X309" s="11"/>
      <c r="Y309" s="11"/>
      <c r="Z309" s="11"/>
      <c r="AA309" s="20" t="s">
        <v>154</v>
      </c>
      <c r="AB309" s="88"/>
      <c r="AC309" s="22"/>
      <c r="AD309" s="44"/>
      <c r="AE309" s="88"/>
    </row>
    <row r="310" spans="1:31" ht="37.5" hidden="1">
      <c r="A310" s="56"/>
      <c r="B310" s="48"/>
      <c r="C310" s="59" t="s">
        <v>554</v>
      </c>
      <c r="D310" s="59" t="s">
        <v>540</v>
      </c>
      <c r="E310" s="20"/>
      <c r="F310" s="51"/>
      <c r="G310" s="59"/>
      <c r="H310" s="59"/>
      <c r="I310" s="20" t="s">
        <v>312</v>
      </c>
      <c r="J310" s="51">
        <v>7816000</v>
      </c>
      <c r="K310" s="61">
        <v>3</v>
      </c>
      <c r="L310" s="41">
        <v>0</v>
      </c>
      <c r="M310" s="20">
        <v>2</v>
      </c>
      <c r="N310" s="82">
        <v>3685000</v>
      </c>
      <c r="O310" s="86"/>
      <c r="P310" s="86"/>
      <c r="Q310" s="20"/>
      <c r="R310" s="80"/>
      <c r="S310" s="87">
        <f t="shared" ref="S310:T310" si="279">K310+M310+O310+Q310</f>
        <v>5</v>
      </c>
      <c r="T310" s="18">
        <f t="shared" si="279"/>
        <v>3685000</v>
      </c>
      <c r="U310" s="27">
        <f t="shared" si="265"/>
        <v>0.41666666666666669</v>
      </c>
      <c r="V310" s="27">
        <f t="shared" si="12"/>
        <v>0.47146878198567044</v>
      </c>
      <c r="W310" s="11"/>
      <c r="X310" s="11"/>
      <c r="Y310" s="11"/>
      <c r="Z310" s="11"/>
      <c r="AA310" s="20" t="s">
        <v>157</v>
      </c>
      <c r="AB310" s="88"/>
      <c r="AC310" s="22"/>
      <c r="AD310" s="44"/>
      <c r="AE310" s="88"/>
    </row>
    <row r="311" spans="1:31" ht="37.5" hidden="1">
      <c r="A311" s="56"/>
      <c r="B311" s="48"/>
      <c r="C311" s="59" t="s">
        <v>555</v>
      </c>
      <c r="D311" s="59" t="s">
        <v>556</v>
      </c>
      <c r="E311" s="20"/>
      <c r="F311" s="51"/>
      <c r="G311" s="59"/>
      <c r="H311" s="59"/>
      <c r="I311" s="20" t="s">
        <v>361</v>
      </c>
      <c r="J311" s="51">
        <v>31015000</v>
      </c>
      <c r="K311" s="61">
        <v>0</v>
      </c>
      <c r="L311" s="41">
        <v>0</v>
      </c>
      <c r="M311" s="20">
        <v>0</v>
      </c>
      <c r="N311" s="82">
        <v>0</v>
      </c>
      <c r="O311" s="86"/>
      <c r="P311" s="86">
        <v>0</v>
      </c>
      <c r="Q311" s="20"/>
      <c r="R311" s="80"/>
      <c r="S311" s="87">
        <f t="shared" ref="S311:T311" si="280">K311+M311+O311+Q311</f>
        <v>0</v>
      </c>
      <c r="T311" s="18">
        <f t="shared" si="280"/>
        <v>0</v>
      </c>
      <c r="U311" s="27">
        <v>0</v>
      </c>
      <c r="V311" s="27">
        <f t="shared" si="12"/>
        <v>0</v>
      </c>
      <c r="W311" s="11"/>
      <c r="X311" s="11"/>
      <c r="Y311" s="11"/>
      <c r="Z311" s="11"/>
      <c r="AA311" s="20" t="s">
        <v>56</v>
      </c>
      <c r="AB311" s="88"/>
      <c r="AC311" s="22"/>
      <c r="AD311" s="44"/>
      <c r="AE311" s="88"/>
    </row>
    <row r="312" spans="1:31" ht="37.5" hidden="1">
      <c r="A312" s="56"/>
      <c r="B312" s="48"/>
      <c r="C312" s="59" t="s">
        <v>557</v>
      </c>
      <c r="D312" s="59" t="s">
        <v>556</v>
      </c>
      <c r="E312" s="20"/>
      <c r="F312" s="51"/>
      <c r="G312" s="59"/>
      <c r="H312" s="59"/>
      <c r="I312" s="20" t="s">
        <v>312</v>
      </c>
      <c r="J312" s="51">
        <v>49708000</v>
      </c>
      <c r="K312" s="61">
        <v>3</v>
      </c>
      <c r="L312" s="41">
        <v>0</v>
      </c>
      <c r="M312" s="20">
        <v>2</v>
      </c>
      <c r="N312" s="82">
        <v>0</v>
      </c>
      <c r="O312" s="86"/>
      <c r="P312" s="86"/>
      <c r="Q312" s="20"/>
      <c r="R312" s="80"/>
      <c r="S312" s="87">
        <f t="shared" ref="S312:T312" si="281">K312+M312+O312+Q312</f>
        <v>5</v>
      </c>
      <c r="T312" s="18">
        <f t="shared" si="281"/>
        <v>0</v>
      </c>
      <c r="U312" s="27">
        <f t="shared" ref="U312:U316" si="282">S312/12</f>
        <v>0.41666666666666669</v>
      </c>
      <c r="V312" s="27">
        <f t="shared" si="12"/>
        <v>0</v>
      </c>
      <c r="W312" s="11"/>
      <c r="X312" s="11"/>
      <c r="Y312" s="11"/>
      <c r="Z312" s="11"/>
      <c r="AA312" s="20" t="s">
        <v>112</v>
      </c>
      <c r="AB312" s="88"/>
      <c r="AC312" s="22"/>
      <c r="AD312" s="44"/>
      <c r="AE312" s="88"/>
    </row>
    <row r="313" spans="1:31" ht="37.5" hidden="1">
      <c r="A313" s="56"/>
      <c r="B313" s="48"/>
      <c r="C313" s="59" t="s">
        <v>558</v>
      </c>
      <c r="D313" s="59" t="s">
        <v>556</v>
      </c>
      <c r="E313" s="20"/>
      <c r="F313" s="51"/>
      <c r="G313" s="59"/>
      <c r="H313" s="59"/>
      <c r="I313" s="20" t="s">
        <v>312</v>
      </c>
      <c r="J313" s="51">
        <v>15650000</v>
      </c>
      <c r="K313" s="61">
        <v>3</v>
      </c>
      <c r="L313" s="41">
        <v>0</v>
      </c>
      <c r="M313" s="20">
        <v>2</v>
      </c>
      <c r="N313" s="82">
        <v>2768950</v>
      </c>
      <c r="O313" s="86"/>
      <c r="P313" s="86"/>
      <c r="Q313" s="20"/>
      <c r="R313" s="80"/>
      <c r="S313" s="87">
        <f t="shared" ref="S313:T313" si="283">K313+M313+O313+Q313</f>
        <v>5</v>
      </c>
      <c r="T313" s="18">
        <f t="shared" si="283"/>
        <v>2768950</v>
      </c>
      <c r="U313" s="27">
        <f t="shared" si="282"/>
        <v>0.41666666666666669</v>
      </c>
      <c r="V313" s="27">
        <f t="shared" si="12"/>
        <v>0.17692971246006389</v>
      </c>
      <c r="W313" s="11"/>
      <c r="X313" s="11"/>
      <c r="Y313" s="11"/>
      <c r="Z313" s="11"/>
      <c r="AA313" s="20" t="s">
        <v>115</v>
      </c>
      <c r="AB313" s="88"/>
      <c r="AC313" s="22"/>
      <c r="AD313" s="44"/>
      <c r="AE313" s="88"/>
    </row>
    <row r="314" spans="1:31" ht="37.5" hidden="1">
      <c r="A314" s="56"/>
      <c r="B314" s="48"/>
      <c r="C314" s="59" t="s">
        <v>559</v>
      </c>
      <c r="D314" s="59" t="s">
        <v>556</v>
      </c>
      <c r="E314" s="20"/>
      <c r="F314" s="51"/>
      <c r="G314" s="59"/>
      <c r="H314" s="59"/>
      <c r="I314" s="20" t="s">
        <v>312</v>
      </c>
      <c r="J314" s="51">
        <v>21052000</v>
      </c>
      <c r="K314" s="61">
        <v>3</v>
      </c>
      <c r="L314" s="41">
        <v>0</v>
      </c>
      <c r="M314" s="20">
        <v>2</v>
      </c>
      <c r="N314" s="82">
        <v>765620</v>
      </c>
      <c r="O314" s="86"/>
      <c r="P314" s="86"/>
      <c r="Q314" s="20"/>
      <c r="R314" s="80"/>
      <c r="S314" s="87">
        <f t="shared" ref="S314:T314" si="284">K314+M314+O314+Q314</f>
        <v>5</v>
      </c>
      <c r="T314" s="18">
        <f t="shared" si="284"/>
        <v>765620</v>
      </c>
      <c r="U314" s="27">
        <f t="shared" si="282"/>
        <v>0.41666666666666669</v>
      </c>
      <c r="V314" s="27">
        <f t="shared" si="12"/>
        <v>3.6368041041231237E-2</v>
      </c>
      <c r="W314" s="11"/>
      <c r="X314" s="11"/>
      <c r="Y314" s="11"/>
      <c r="Z314" s="11"/>
      <c r="AA314" s="20" t="s">
        <v>118</v>
      </c>
      <c r="AB314" s="88"/>
      <c r="AC314" s="22"/>
      <c r="AD314" s="44"/>
      <c r="AE314" s="88"/>
    </row>
    <row r="315" spans="1:31" ht="37.5" hidden="1">
      <c r="A315" s="56"/>
      <c r="B315" s="48"/>
      <c r="C315" s="59" t="s">
        <v>560</v>
      </c>
      <c r="D315" s="59" t="s">
        <v>556</v>
      </c>
      <c r="E315" s="20"/>
      <c r="F315" s="51"/>
      <c r="G315" s="59"/>
      <c r="H315" s="59"/>
      <c r="I315" s="20" t="s">
        <v>312</v>
      </c>
      <c r="J315" s="51">
        <v>27300000</v>
      </c>
      <c r="K315" s="61">
        <v>3</v>
      </c>
      <c r="L315" s="41">
        <v>0</v>
      </c>
      <c r="M315" s="20">
        <v>2</v>
      </c>
      <c r="N315" s="82">
        <v>3350000</v>
      </c>
      <c r="O315" s="86"/>
      <c r="P315" s="86"/>
      <c r="Q315" s="20"/>
      <c r="R315" s="80"/>
      <c r="S315" s="87">
        <f t="shared" ref="S315:T315" si="285">K315+M315+O315+Q315</f>
        <v>5</v>
      </c>
      <c r="T315" s="18">
        <f t="shared" si="285"/>
        <v>3350000</v>
      </c>
      <c r="U315" s="27">
        <f t="shared" si="282"/>
        <v>0.41666666666666669</v>
      </c>
      <c r="V315" s="27">
        <f t="shared" si="12"/>
        <v>0.1227106227106227</v>
      </c>
      <c r="W315" s="11"/>
      <c r="X315" s="11"/>
      <c r="Y315" s="11"/>
      <c r="Z315" s="11"/>
      <c r="AA315" s="20" t="s">
        <v>121</v>
      </c>
      <c r="AB315" s="88"/>
      <c r="AC315" s="22"/>
      <c r="AD315" s="44"/>
      <c r="AE315" s="88"/>
    </row>
    <row r="316" spans="1:31" ht="37.5" hidden="1">
      <c r="A316" s="56"/>
      <c r="B316" s="48"/>
      <c r="C316" s="59" t="s">
        <v>561</v>
      </c>
      <c r="D316" s="59" t="s">
        <v>556</v>
      </c>
      <c r="E316" s="20"/>
      <c r="F316" s="51"/>
      <c r="G316" s="59"/>
      <c r="H316" s="59"/>
      <c r="I316" s="20" t="s">
        <v>342</v>
      </c>
      <c r="J316" s="51">
        <v>36040000</v>
      </c>
      <c r="K316" s="61">
        <v>3</v>
      </c>
      <c r="L316" s="41">
        <v>0</v>
      </c>
      <c r="M316" s="20">
        <v>3</v>
      </c>
      <c r="N316" s="82">
        <v>5769450</v>
      </c>
      <c r="O316" s="86"/>
      <c r="P316" s="86"/>
      <c r="Q316" s="20"/>
      <c r="R316" s="80"/>
      <c r="S316" s="87">
        <f t="shared" ref="S316:T316" si="286">K316+M316+O316+Q316</f>
        <v>6</v>
      </c>
      <c r="T316" s="18">
        <f t="shared" si="286"/>
        <v>5769450</v>
      </c>
      <c r="U316" s="27">
        <f t="shared" si="282"/>
        <v>0.5</v>
      </c>
      <c r="V316" s="27">
        <f t="shared" si="12"/>
        <v>0.160084628190899</v>
      </c>
      <c r="W316" s="11"/>
      <c r="X316" s="11"/>
      <c r="Y316" s="11"/>
      <c r="Z316" s="11"/>
      <c r="AA316" s="20" t="s">
        <v>124</v>
      </c>
      <c r="AB316" s="88"/>
      <c r="AC316" s="22"/>
      <c r="AD316" s="44"/>
      <c r="AE316" s="88"/>
    </row>
    <row r="317" spans="1:31" ht="50" hidden="1">
      <c r="A317" s="56"/>
      <c r="B317" s="48"/>
      <c r="C317" s="59" t="s">
        <v>562</v>
      </c>
      <c r="D317" s="59" t="s">
        <v>556</v>
      </c>
      <c r="E317" s="20"/>
      <c r="F317" s="51"/>
      <c r="G317" s="59"/>
      <c r="H317" s="59"/>
      <c r="I317" s="20" t="s">
        <v>312</v>
      </c>
      <c r="J317" s="51">
        <v>23088000</v>
      </c>
      <c r="K317" s="65">
        <v>3</v>
      </c>
      <c r="L317" s="41">
        <v>0</v>
      </c>
      <c r="M317" s="20">
        <v>1</v>
      </c>
      <c r="N317" s="82">
        <v>1178000</v>
      </c>
      <c r="O317" s="86"/>
      <c r="P317" s="86"/>
      <c r="Q317" s="91"/>
      <c r="R317" s="80"/>
      <c r="S317" s="92">
        <f t="shared" ref="S317:T317" si="287">K317+M317+O317+Q317</f>
        <v>4</v>
      </c>
      <c r="T317" s="18">
        <f t="shared" si="287"/>
        <v>1178000</v>
      </c>
      <c r="U317" s="27">
        <f>S317/10</f>
        <v>0.4</v>
      </c>
      <c r="V317" s="27">
        <f t="shared" ref="V317:V327" si="288">T317/J317</f>
        <v>5.102217602217602E-2</v>
      </c>
      <c r="W317" s="11"/>
      <c r="X317" s="11"/>
      <c r="Y317" s="11"/>
      <c r="Z317" s="11"/>
      <c r="AA317" s="20" t="s">
        <v>127</v>
      </c>
      <c r="AB317" s="88"/>
      <c r="AC317" s="22"/>
      <c r="AD317" s="44"/>
      <c r="AE317" s="88"/>
    </row>
    <row r="318" spans="1:31" ht="37.5">
      <c r="A318" s="56"/>
      <c r="B318" s="48"/>
      <c r="C318" s="59" t="s">
        <v>563</v>
      </c>
      <c r="D318" s="59" t="s">
        <v>556</v>
      </c>
      <c r="E318" s="20"/>
      <c r="F318" s="51"/>
      <c r="G318" s="59"/>
      <c r="H318" s="59"/>
      <c r="I318" s="20" t="s">
        <v>312</v>
      </c>
      <c r="J318" s="51">
        <v>78024000</v>
      </c>
      <c r="K318" s="61">
        <v>3</v>
      </c>
      <c r="L318" s="41">
        <v>0</v>
      </c>
      <c r="M318" s="20">
        <v>3</v>
      </c>
      <c r="N318" s="82">
        <v>7336000</v>
      </c>
      <c r="O318" s="86">
        <v>3</v>
      </c>
      <c r="P318" s="86">
        <v>49527755</v>
      </c>
      <c r="Q318" s="20">
        <v>3</v>
      </c>
      <c r="R318" s="80">
        <v>15871124</v>
      </c>
      <c r="S318" s="87">
        <f t="shared" ref="S318:T318" si="289">K318+M318+O318+Q318</f>
        <v>12</v>
      </c>
      <c r="T318" s="18">
        <f t="shared" si="289"/>
        <v>72734879</v>
      </c>
      <c r="U318" s="27">
        <f t="shared" ref="U318:U327" si="290">S318/12</f>
        <v>1</v>
      </c>
      <c r="V318" s="27">
        <f t="shared" si="288"/>
        <v>0.93221161437506406</v>
      </c>
      <c r="W318" s="11"/>
      <c r="X318" s="11"/>
      <c r="Y318" s="11"/>
      <c r="Z318" s="11"/>
      <c r="AA318" s="20" t="s">
        <v>130</v>
      </c>
      <c r="AB318" s="88"/>
      <c r="AC318" s="22"/>
      <c r="AD318" s="44"/>
      <c r="AE318" s="88"/>
    </row>
    <row r="319" spans="1:31" ht="50" hidden="1">
      <c r="A319" s="56"/>
      <c r="B319" s="48"/>
      <c r="C319" s="59" t="s">
        <v>564</v>
      </c>
      <c r="D319" s="59" t="s">
        <v>556</v>
      </c>
      <c r="E319" s="20"/>
      <c r="F319" s="51"/>
      <c r="G319" s="59"/>
      <c r="H319" s="59"/>
      <c r="I319" s="20" t="s">
        <v>312</v>
      </c>
      <c r="J319" s="51">
        <v>88800000</v>
      </c>
      <c r="K319" s="61">
        <v>3</v>
      </c>
      <c r="L319" s="41">
        <v>0</v>
      </c>
      <c r="M319" s="20">
        <v>2</v>
      </c>
      <c r="N319" s="82">
        <v>7483200</v>
      </c>
      <c r="O319" s="86"/>
      <c r="P319" s="86"/>
      <c r="Q319" s="20"/>
      <c r="R319" s="80"/>
      <c r="S319" s="87">
        <f t="shared" ref="S319:T319" si="291">K319+M319+O319+Q319</f>
        <v>5</v>
      </c>
      <c r="T319" s="18">
        <f t="shared" si="291"/>
        <v>7483200</v>
      </c>
      <c r="U319" s="27">
        <f t="shared" si="290"/>
        <v>0.41666666666666669</v>
      </c>
      <c r="V319" s="27">
        <f t="shared" si="288"/>
        <v>8.4270270270270273E-2</v>
      </c>
      <c r="W319" s="11"/>
      <c r="X319" s="11"/>
      <c r="Y319" s="11"/>
      <c r="Z319" s="11"/>
      <c r="AA319" s="20" t="s">
        <v>133</v>
      </c>
      <c r="AB319" s="88"/>
      <c r="AC319" s="22"/>
      <c r="AD319" s="44"/>
      <c r="AE319" s="88"/>
    </row>
    <row r="320" spans="1:31" ht="37.5" hidden="1">
      <c r="A320" s="56"/>
      <c r="B320" s="48"/>
      <c r="C320" s="59" t="s">
        <v>565</v>
      </c>
      <c r="D320" s="59" t="s">
        <v>556</v>
      </c>
      <c r="E320" s="20"/>
      <c r="F320" s="51"/>
      <c r="G320" s="59"/>
      <c r="H320" s="59"/>
      <c r="I320" s="20" t="s">
        <v>312</v>
      </c>
      <c r="J320" s="51">
        <v>21600000</v>
      </c>
      <c r="K320" s="61">
        <v>3</v>
      </c>
      <c r="L320" s="41">
        <v>0</v>
      </c>
      <c r="M320" s="20">
        <v>2</v>
      </c>
      <c r="N320" s="82">
        <v>0</v>
      </c>
      <c r="O320" s="86"/>
      <c r="P320" s="86"/>
      <c r="Q320" s="20"/>
      <c r="R320" s="80"/>
      <c r="S320" s="87">
        <f t="shared" ref="S320:T320" si="292">K320+M320+O320+Q320</f>
        <v>5</v>
      </c>
      <c r="T320" s="18">
        <f t="shared" si="292"/>
        <v>0</v>
      </c>
      <c r="U320" s="27">
        <f t="shared" si="290"/>
        <v>0.41666666666666669</v>
      </c>
      <c r="V320" s="27">
        <f t="shared" si="288"/>
        <v>0</v>
      </c>
      <c r="W320" s="11"/>
      <c r="X320" s="11"/>
      <c r="Y320" s="11"/>
      <c r="Z320" s="11"/>
      <c r="AA320" s="20" t="s">
        <v>136</v>
      </c>
      <c r="AB320" s="88"/>
      <c r="AC320" s="22"/>
      <c r="AD320" s="44"/>
      <c r="AE320" s="88"/>
    </row>
    <row r="321" spans="1:31" ht="37.5" hidden="1">
      <c r="A321" s="56"/>
      <c r="B321" s="48"/>
      <c r="C321" s="59" t="s">
        <v>566</v>
      </c>
      <c r="D321" s="59" t="s">
        <v>556</v>
      </c>
      <c r="E321" s="20"/>
      <c r="F321" s="51"/>
      <c r="G321" s="59"/>
      <c r="H321" s="59"/>
      <c r="I321" s="20" t="s">
        <v>312</v>
      </c>
      <c r="J321" s="51">
        <v>9600000</v>
      </c>
      <c r="K321" s="61">
        <v>3</v>
      </c>
      <c r="L321" s="41">
        <v>0</v>
      </c>
      <c r="M321" s="20">
        <v>2</v>
      </c>
      <c r="N321" s="82">
        <v>250000</v>
      </c>
      <c r="O321" s="86"/>
      <c r="P321" s="86"/>
      <c r="Q321" s="20"/>
      <c r="R321" s="80"/>
      <c r="S321" s="87">
        <f t="shared" ref="S321:T321" si="293">K321+M321+O321+Q321</f>
        <v>5</v>
      </c>
      <c r="T321" s="18">
        <f t="shared" si="293"/>
        <v>250000</v>
      </c>
      <c r="U321" s="27">
        <f t="shared" si="290"/>
        <v>0.41666666666666669</v>
      </c>
      <c r="V321" s="27">
        <f t="shared" si="288"/>
        <v>2.6041666666666668E-2</v>
      </c>
      <c r="W321" s="11"/>
      <c r="X321" s="11"/>
      <c r="Y321" s="11"/>
      <c r="Z321" s="11"/>
      <c r="AA321" s="20" t="s">
        <v>139</v>
      </c>
      <c r="AB321" s="88"/>
      <c r="AC321" s="22"/>
      <c r="AD321" s="44"/>
      <c r="AE321" s="88"/>
    </row>
    <row r="322" spans="1:31" ht="37.5" hidden="1">
      <c r="A322" s="56"/>
      <c r="B322" s="48"/>
      <c r="C322" s="59" t="s">
        <v>567</v>
      </c>
      <c r="D322" s="59" t="s">
        <v>556</v>
      </c>
      <c r="E322" s="20"/>
      <c r="F322" s="51"/>
      <c r="G322" s="59"/>
      <c r="H322" s="59"/>
      <c r="I322" s="20" t="s">
        <v>312</v>
      </c>
      <c r="J322" s="51">
        <v>17840000</v>
      </c>
      <c r="K322" s="61">
        <v>3</v>
      </c>
      <c r="L322" s="41">
        <v>0</v>
      </c>
      <c r="M322" s="20">
        <v>2</v>
      </c>
      <c r="N322" s="82">
        <v>0</v>
      </c>
      <c r="O322" s="86"/>
      <c r="P322" s="86"/>
      <c r="Q322" s="20"/>
      <c r="R322" s="80"/>
      <c r="S322" s="87">
        <f t="shared" ref="S322:T322" si="294">K322+M322+O322+Q322</f>
        <v>5</v>
      </c>
      <c r="T322" s="18">
        <f t="shared" si="294"/>
        <v>0</v>
      </c>
      <c r="U322" s="27">
        <f t="shared" si="290"/>
        <v>0.41666666666666669</v>
      </c>
      <c r="V322" s="27">
        <f t="shared" si="288"/>
        <v>0</v>
      </c>
      <c r="W322" s="11"/>
      <c r="X322" s="11"/>
      <c r="Y322" s="11"/>
      <c r="Z322" s="11"/>
      <c r="AA322" s="20" t="s">
        <v>142</v>
      </c>
      <c r="AB322" s="88"/>
      <c r="AC322" s="22"/>
      <c r="AD322" s="44"/>
      <c r="AE322" s="88"/>
    </row>
    <row r="323" spans="1:31" ht="37.5" hidden="1">
      <c r="A323" s="56"/>
      <c r="B323" s="48"/>
      <c r="C323" s="59" t="s">
        <v>568</v>
      </c>
      <c r="D323" s="59" t="s">
        <v>556</v>
      </c>
      <c r="E323" s="20"/>
      <c r="F323" s="51"/>
      <c r="G323" s="59"/>
      <c r="H323" s="59"/>
      <c r="I323" s="20" t="s">
        <v>312</v>
      </c>
      <c r="J323" s="51">
        <v>30960000</v>
      </c>
      <c r="K323" s="61">
        <v>3</v>
      </c>
      <c r="L323" s="41">
        <v>0</v>
      </c>
      <c r="M323" s="20">
        <v>2</v>
      </c>
      <c r="N323" s="82">
        <v>0</v>
      </c>
      <c r="O323" s="86"/>
      <c r="P323" s="86"/>
      <c r="Q323" s="20"/>
      <c r="R323" s="80"/>
      <c r="S323" s="87">
        <f t="shared" ref="S323:T323" si="295">K323+M323+O323+Q323</f>
        <v>5</v>
      </c>
      <c r="T323" s="18">
        <f t="shared" si="295"/>
        <v>0</v>
      </c>
      <c r="U323" s="27">
        <f t="shared" si="290"/>
        <v>0.41666666666666669</v>
      </c>
      <c r="V323" s="27">
        <f t="shared" si="288"/>
        <v>0</v>
      </c>
      <c r="W323" s="11"/>
      <c r="X323" s="11"/>
      <c r="Y323" s="11"/>
      <c r="Z323" s="11"/>
      <c r="AA323" s="20" t="s">
        <v>145</v>
      </c>
      <c r="AB323" s="88"/>
      <c r="AC323" s="22"/>
      <c r="AD323" s="44"/>
      <c r="AE323" s="88"/>
    </row>
    <row r="324" spans="1:31" ht="37.5" hidden="1">
      <c r="A324" s="56"/>
      <c r="B324" s="48"/>
      <c r="C324" s="59" t="s">
        <v>569</v>
      </c>
      <c r="D324" s="59" t="s">
        <v>556</v>
      </c>
      <c r="E324" s="20"/>
      <c r="F324" s="51"/>
      <c r="G324" s="59"/>
      <c r="H324" s="59"/>
      <c r="I324" s="20" t="s">
        <v>312</v>
      </c>
      <c r="J324" s="51">
        <v>242800000</v>
      </c>
      <c r="K324" s="61">
        <v>3</v>
      </c>
      <c r="L324" s="41">
        <v>0</v>
      </c>
      <c r="M324" s="20">
        <v>2</v>
      </c>
      <c r="N324" s="82">
        <v>29200000</v>
      </c>
      <c r="O324" s="86"/>
      <c r="P324" s="86"/>
      <c r="Q324" s="20"/>
      <c r="R324" s="80"/>
      <c r="S324" s="87">
        <f t="shared" ref="S324:T324" si="296">K324+M324+O324+Q324</f>
        <v>5</v>
      </c>
      <c r="T324" s="18">
        <f t="shared" si="296"/>
        <v>29200000</v>
      </c>
      <c r="U324" s="27">
        <f t="shared" si="290"/>
        <v>0.41666666666666669</v>
      </c>
      <c r="V324" s="27">
        <f t="shared" si="288"/>
        <v>0.12026359143327842</v>
      </c>
      <c r="W324" s="11"/>
      <c r="X324" s="11"/>
      <c r="Y324" s="11"/>
      <c r="Z324" s="11"/>
      <c r="AA324" s="20" t="s">
        <v>148</v>
      </c>
      <c r="AB324" s="88"/>
      <c r="AC324" s="22"/>
      <c r="AD324" s="44"/>
      <c r="AE324" s="88"/>
    </row>
    <row r="325" spans="1:31" ht="37.5" hidden="1">
      <c r="A325" s="56"/>
      <c r="B325" s="48"/>
      <c r="C325" s="59" t="s">
        <v>570</v>
      </c>
      <c r="D325" s="59" t="s">
        <v>556</v>
      </c>
      <c r="E325" s="20"/>
      <c r="F325" s="51"/>
      <c r="G325" s="59"/>
      <c r="H325" s="59"/>
      <c r="I325" s="20" t="s">
        <v>312</v>
      </c>
      <c r="J325" s="51">
        <v>81300000</v>
      </c>
      <c r="K325" s="61">
        <v>3</v>
      </c>
      <c r="L325" s="41">
        <v>0</v>
      </c>
      <c r="M325" s="20">
        <v>2</v>
      </c>
      <c r="N325" s="82">
        <v>9839000</v>
      </c>
      <c r="O325" s="86"/>
      <c r="P325" s="86"/>
      <c r="Q325" s="20"/>
      <c r="R325" s="80"/>
      <c r="S325" s="87">
        <f t="shared" ref="S325:T325" si="297">K325+M325+O325+Q325</f>
        <v>5</v>
      </c>
      <c r="T325" s="18">
        <f t="shared" si="297"/>
        <v>9839000</v>
      </c>
      <c r="U325" s="27">
        <f t="shared" si="290"/>
        <v>0.41666666666666669</v>
      </c>
      <c r="V325" s="27">
        <f t="shared" si="288"/>
        <v>0.12102091020910209</v>
      </c>
      <c r="W325" s="11"/>
      <c r="X325" s="11"/>
      <c r="Y325" s="11"/>
      <c r="Z325" s="11"/>
      <c r="AA325" s="20" t="s">
        <v>151</v>
      </c>
      <c r="AB325" s="88"/>
      <c r="AC325" s="22"/>
      <c r="AD325" s="44"/>
      <c r="AE325" s="88"/>
    </row>
    <row r="326" spans="1:31" ht="37.5" hidden="1">
      <c r="A326" s="56"/>
      <c r="B326" s="48"/>
      <c r="C326" s="59" t="s">
        <v>571</v>
      </c>
      <c r="D326" s="59" t="s">
        <v>556</v>
      </c>
      <c r="E326" s="20"/>
      <c r="F326" s="51"/>
      <c r="G326" s="59"/>
      <c r="H326" s="59"/>
      <c r="I326" s="20" t="s">
        <v>312</v>
      </c>
      <c r="J326" s="51">
        <v>50332000</v>
      </c>
      <c r="K326" s="61">
        <v>3</v>
      </c>
      <c r="L326" s="41">
        <v>0</v>
      </c>
      <c r="M326" s="20">
        <v>2</v>
      </c>
      <c r="N326" s="82">
        <v>580000</v>
      </c>
      <c r="O326" s="86"/>
      <c r="P326" s="86"/>
      <c r="Q326" s="20"/>
      <c r="R326" s="80"/>
      <c r="S326" s="87">
        <f t="shared" ref="S326:T326" si="298">K326+M326+O326+Q326</f>
        <v>5</v>
      </c>
      <c r="T326" s="18">
        <f t="shared" si="298"/>
        <v>580000</v>
      </c>
      <c r="U326" s="27">
        <f t="shared" si="290"/>
        <v>0.41666666666666669</v>
      </c>
      <c r="V326" s="27">
        <f t="shared" si="288"/>
        <v>1.1523484065803068E-2</v>
      </c>
      <c r="W326" s="11"/>
      <c r="X326" s="11"/>
      <c r="Y326" s="11"/>
      <c r="Z326" s="11"/>
      <c r="AA326" s="20" t="s">
        <v>154</v>
      </c>
      <c r="AB326" s="88"/>
      <c r="AC326" s="22"/>
      <c r="AD326" s="44"/>
      <c r="AE326" s="88"/>
    </row>
    <row r="327" spans="1:31" ht="37.5" hidden="1">
      <c r="A327" s="56"/>
      <c r="B327" s="48"/>
      <c r="C327" s="59" t="s">
        <v>572</v>
      </c>
      <c r="D327" s="59" t="s">
        <v>556</v>
      </c>
      <c r="E327" s="20"/>
      <c r="F327" s="51"/>
      <c r="G327" s="59"/>
      <c r="H327" s="59"/>
      <c r="I327" s="20" t="s">
        <v>312</v>
      </c>
      <c r="J327" s="51">
        <v>30032000</v>
      </c>
      <c r="K327" s="61">
        <v>3</v>
      </c>
      <c r="L327" s="41">
        <v>0</v>
      </c>
      <c r="M327" s="20">
        <v>2</v>
      </c>
      <c r="N327" s="82">
        <v>6043000</v>
      </c>
      <c r="O327" s="86"/>
      <c r="P327" s="86"/>
      <c r="Q327" s="20"/>
      <c r="R327" s="80"/>
      <c r="S327" s="87">
        <f t="shared" ref="S327:T327" si="299">K327+M327+O327+Q327</f>
        <v>5</v>
      </c>
      <c r="T327" s="18">
        <f t="shared" si="299"/>
        <v>6043000</v>
      </c>
      <c r="U327" s="27">
        <f t="shared" si="290"/>
        <v>0.41666666666666669</v>
      </c>
      <c r="V327" s="27">
        <f t="shared" si="288"/>
        <v>0.20121870005327649</v>
      </c>
      <c r="W327" s="11"/>
      <c r="X327" s="11"/>
      <c r="Y327" s="11"/>
      <c r="Z327" s="11"/>
      <c r="AA327" s="20" t="s">
        <v>157</v>
      </c>
      <c r="AB327" s="88"/>
      <c r="AC327" s="22"/>
      <c r="AD327" s="44"/>
      <c r="AE327" s="88"/>
    </row>
    <row r="328" spans="1:31" ht="52" hidden="1">
      <c r="A328" s="56"/>
      <c r="B328" s="48"/>
      <c r="C328" s="66" t="s">
        <v>573</v>
      </c>
      <c r="D328" s="66" t="s">
        <v>574</v>
      </c>
      <c r="E328" s="25"/>
      <c r="F328" s="51"/>
      <c r="G328" s="59"/>
      <c r="H328" s="59"/>
      <c r="I328" s="25">
        <v>1</v>
      </c>
      <c r="J328" s="51"/>
      <c r="K328" s="61"/>
      <c r="L328" s="41"/>
      <c r="M328" s="20"/>
      <c r="N328" s="82"/>
      <c r="O328" s="86"/>
      <c r="P328" s="86"/>
      <c r="Q328" s="20"/>
      <c r="R328" s="80"/>
      <c r="S328" s="62"/>
      <c r="T328" s="18"/>
      <c r="U328" s="27"/>
      <c r="V328" s="27"/>
      <c r="W328" s="11"/>
      <c r="X328" s="11"/>
      <c r="Y328" s="11"/>
      <c r="Z328" s="11"/>
      <c r="AA328" s="20"/>
      <c r="AB328" s="88"/>
      <c r="AC328" s="22"/>
      <c r="AD328" s="93">
        <f>SUM(J329:J344)</f>
        <v>506248900</v>
      </c>
      <c r="AE328" s="70">
        <f>SUM(T329:T344)</f>
        <v>20456000</v>
      </c>
    </row>
    <row r="329" spans="1:31" ht="37.5" hidden="1">
      <c r="A329" s="56"/>
      <c r="B329" s="48"/>
      <c r="C329" s="59" t="s">
        <v>575</v>
      </c>
      <c r="D329" s="59" t="s">
        <v>576</v>
      </c>
      <c r="E329" s="20"/>
      <c r="F329" s="51"/>
      <c r="G329" s="59"/>
      <c r="H329" s="59"/>
      <c r="I329" s="20" t="s">
        <v>312</v>
      </c>
      <c r="J329" s="51">
        <v>174600000</v>
      </c>
      <c r="K329" s="61">
        <v>3</v>
      </c>
      <c r="L329" s="41">
        <v>0</v>
      </c>
      <c r="M329" s="20">
        <v>2</v>
      </c>
      <c r="N329" s="82">
        <v>888000</v>
      </c>
      <c r="O329" s="86"/>
      <c r="P329" s="86"/>
      <c r="Q329" s="20"/>
      <c r="R329" s="80"/>
      <c r="S329" s="87">
        <f t="shared" ref="S329:T329" si="300">K329+M329+O329+Q329</f>
        <v>5</v>
      </c>
      <c r="T329" s="18">
        <f t="shared" si="300"/>
        <v>888000</v>
      </c>
      <c r="U329" s="27">
        <f t="shared" ref="U329:U332" si="301">S329/12</f>
        <v>0.41666666666666669</v>
      </c>
      <c r="V329" s="27">
        <f t="shared" ref="V329:V344" si="302">T329/J329</f>
        <v>5.085910652920962E-3</v>
      </c>
      <c r="W329" s="11"/>
      <c r="X329" s="11"/>
      <c r="Y329" s="11"/>
      <c r="Z329" s="11"/>
      <c r="AA329" s="20" t="s">
        <v>112</v>
      </c>
      <c r="AB329" s="88"/>
      <c r="AC329" s="22"/>
      <c r="AD329" s="44"/>
      <c r="AE329" s="88"/>
    </row>
    <row r="330" spans="1:31" ht="37.5" hidden="1">
      <c r="A330" s="56"/>
      <c r="B330" s="48"/>
      <c r="C330" s="59" t="s">
        <v>577</v>
      </c>
      <c r="D330" s="59" t="s">
        <v>576</v>
      </c>
      <c r="E330" s="20"/>
      <c r="F330" s="51"/>
      <c r="G330" s="59"/>
      <c r="H330" s="59"/>
      <c r="I330" s="20" t="s">
        <v>312</v>
      </c>
      <c r="J330" s="51">
        <v>199635000</v>
      </c>
      <c r="K330" s="61">
        <v>3</v>
      </c>
      <c r="L330" s="41">
        <v>0</v>
      </c>
      <c r="M330" s="20">
        <v>2</v>
      </c>
      <c r="N330" s="82">
        <v>1776000</v>
      </c>
      <c r="O330" s="86"/>
      <c r="P330" s="86"/>
      <c r="Q330" s="20"/>
      <c r="R330" s="80"/>
      <c r="S330" s="87">
        <f t="shared" ref="S330:T330" si="303">K330+M330+O330+Q330</f>
        <v>5</v>
      </c>
      <c r="T330" s="18">
        <f t="shared" si="303"/>
        <v>1776000</v>
      </c>
      <c r="U330" s="27">
        <f t="shared" si="301"/>
        <v>0.41666666666666669</v>
      </c>
      <c r="V330" s="27">
        <f t="shared" si="302"/>
        <v>8.8962356300247951E-3</v>
      </c>
      <c r="W330" s="11"/>
      <c r="X330" s="11"/>
      <c r="Y330" s="11"/>
      <c r="Z330" s="11"/>
      <c r="AA330" s="20" t="s">
        <v>115</v>
      </c>
      <c r="AB330" s="88"/>
      <c r="AC330" s="22"/>
      <c r="AD330" s="44"/>
      <c r="AE330" s="88"/>
    </row>
    <row r="331" spans="1:31" ht="37.5" hidden="1">
      <c r="A331" s="56"/>
      <c r="B331" s="48"/>
      <c r="C331" s="59" t="s">
        <v>578</v>
      </c>
      <c r="D331" s="59" t="s">
        <v>576</v>
      </c>
      <c r="E331" s="20"/>
      <c r="F331" s="51"/>
      <c r="G331" s="59"/>
      <c r="H331" s="59"/>
      <c r="I331" s="20" t="s">
        <v>312</v>
      </c>
      <c r="J331" s="51">
        <v>12346300</v>
      </c>
      <c r="K331" s="61">
        <v>3</v>
      </c>
      <c r="L331" s="41">
        <v>0</v>
      </c>
      <c r="M331" s="20">
        <v>2</v>
      </c>
      <c r="N331" s="82">
        <v>888000</v>
      </c>
      <c r="O331" s="86"/>
      <c r="P331" s="86"/>
      <c r="Q331" s="20"/>
      <c r="R331" s="80"/>
      <c r="S331" s="87">
        <f t="shared" ref="S331:T331" si="304">K331+M331+O331+Q331</f>
        <v>5</v>
      </c>
      <c r="T331" s="18">
        <f t="shared" si="304"/>
        <v>888000</v>
      </c>
      <c r="U331" s="27">
        <f t="shared" si="301"/>
        <v>0.41666666666666669</v>
      </c>
      <c r="V331" s="27">
        <f t="shared" si="302"/>
        <v>7.1924382203575166E-2</v>
      </c>
      <c r="W331" s="11"/>
      <c r="X331" s="11"/>
      <c r="Y331" s="11"/>
      <c r="Z331" s="11"/>
      <c r="AA331" s="20" t="s">
        <v>118</v>
      </c>
      <c r="AB331" s="88"/>
      <c r="AC331" s="22"/>
      <c r="AD331" s="44"/>
      <c r="AE331" s="88"/>
    </row>
    <row r="332" spans="1:31" ht="37.5" hidden="1">
      <c r="A332" s="56"/>
      <c r="B332" s="48"/>
      <c r="C332" s="59" t="s">
        <v>579</v>
      </c>
      <c r="D332" s="59" t="s">
        <v>576</v>
      </c>
      <c r="E332" s="20"/>
      <c r="F332" s="51"/>
      <c r="G332" s="59"/>
      <c r="H332" s="59"/>
      <c r="I332" s="20" t="s">
        <v>312</v>
      </c>
      <c r="J332" s="51">
        <v>32396000</v>
      </c>
      <c r="K332" s="61">
        <v>3</v>
      </c>
      <c r="L332" s="41">
        <v>0</v>
      </c>
      <c r="M332" s="20">
        <v>2</v>
      </c>
      <c r="N332" s="82">
        <v>888000</v>
      </c>
      <c r="O332" s="86"/>
      <c r="P332" s="86"/>
      <c r="Q332" s="20"/>
      <c r="R332" s="80"/>
      <c r="S332" s="87">
        <f t="shared" ref="S332:T332" si="305">K332+M332+O332+Q332</f>
        <v>5</v>
      </c>
      <c r="T332" s="18">
        <f t="shared" si="305"/>
        <v>888000</v>
      </c>
      <c r="U332" s="27">
        <f t="shared" si="301"/>
        <v>0.41666666666666669</v>
      </c>
      <c r="V332" s="27">
        <f t="shared" si="302"/>
        <v>2.7410791455735276E-2</v>
      </c>
      <c r="W332" s="11"/>
      <c r="X332" s="11"/>
      <c r="Y332" s="11"/>
      <c r="Z332" s="11"/>
      <c r="AA332" s="20" t="s">
        <v>121</v>
      </c>
      <c r="AB332" s="88"/>
      <c r="AC332" s="22"/>
      <c r="AD332" s="44"/>
      <c r="AE332" s="88"/>
    </row>
    <row r="333" spans="1:31" ht="37.5" hidden="1">
      <c r="A333" s="56"/>
      <c r="B333" s="48"/>
      <c r="C333" s="59" t="s">
        <v>580</v>
      </c>
      <c r="D333" s="59" t="s">
        <v>576</v>
      </c>
      <c r="E333" s="20"/>
      <c r="F333" s="51"/>
      <c r="G333" s="59"/>
      <c r="H333" s="59"/>
      <c r="I333" s="20" t="s">
        <v>437</v>
      </c>
      <c r="J333" s="51">
        <v>154000</v>
      </c>
      <c r="K333" s="61">
        <v>0</v>
      </c>
      <c r="L333" s="41">
        <v>0</v>
      </c>
      <c r="M333" s="20">
        <v>0</v>
      </c>
      <c r="N333" s="82">
        <v>0</v>
      </c>
      <c r="O333" s="86"/>
      <c r="P333" s="86"/>
      <c r="Q333" s="20"/>
      <c r="R333" s="80"/>
      <c r="S333" s="87">
        <f t="shared" ref="S333:T333" si="306">K333+M333+O333+Q333</f>
        <v>0</v>
      </c>
      <c r="T333" s="18">
        <f t="shared" si="306"/>
        <v>0</v>
      </c>
      <c r="U333" s="27">
        <f>S333/1</f>
        <v>0</v>
      </c>
      <c r="V333" s="27">
        <f t="shared" si="302"/>
        <v>0</v>
      </c>
      <c r="W333" s="11"/>
      <c r="X333" s="11"/>
      <c r="Y333" s="11"/>
      <c r="Z333" s="11"/>
      <c r="AA333" s="20" t="s">
        <v>124</v>
      </c>
      <c r="AB333" s="88"/>
      <c r="AC333" s="22"/>
      <c r="AD333" s="44"/>
      <c r="AE333" s="88"/>
    </row>
    <row r="334" spans="1:31" ht="50" hidden="1">
      <c r="A334" s="56"/>
      <c r="B334" s="48"/>
      <c r="C334" s="59" t="s">
        <v>581</v>
      </c>
      <c r="D334" s="59" t="s">
        <v>576</v>
      </c>
      <c r="E334" s="20"/>
      <c r="F334" s="51"/>
      <c r="G334" s="59"/>
      <c r="H334" s="59"/>
      <c r="I334" s="20" t="s">
        <v>312</v>
      </c>
      <c r="J334" s="51">
        <v>2912000</v>
      </c>
      <c r="K334" s="65">
        <v>3</v>
      </c>
      <c r="L334" s="41">
        <v>0</v>
      </c>
      <c r="M334" s="20">
        <v>2</v>
      </c>
      <c r="N334" s="82">
        <v>0</v>
      </c>
      <c r="O334" s="86"/>
      <c r="P334" s="86"/>
      <c r="Q334" s="91"/>
      <c r="R334" s="80"/>
      <c r="S334" s="92">
        <f t="shared" ref="S334:T334" si="307">K334+M334+O334+Q334</f>
        <v>5</v>
      </c>
      <c r="T334" s="18">
        <f t="shared" si="307"/>
        <v>0</v>
      </c>
      <c r="U334" s="27">
        <f t="shared" ref="U334:U344" si="308">S334/12</f>
        <v>0.41666666666666669</v>
      </c>
      <c r="V334" s="27">
        <f t="shared" si="302"/>
        <v>0</v>
      </c>
      <c r="W334" s="11"/>
      <c r="X334" s="11"/>
      <c r="Y334" s="11"/>
      <c r="Z334" s="11"/>
      <c r="AA334" s="20" t="s">
        <v>127</v>
      </c>
      <c r="AB334" s="88"/>
      <c r="AC334" s="22"/>
      <c r="AD334" s="44"/>
      <c r="AE334" s="88"/>
    </row>
    <row r="335" spans="1:31" ht="37.5">
      <c r="A335" s="56"/>
      <c r="B335" s="48"/>
      <c r="C335" s="59" t="s">
        <v>582</v>
      </c>
      <c r="D335" s="59" t="s">
        <v>576</v>
      </c>
      <c r="E335" s="20"/>
      <c r="F335" s="51"/>
      <c r="G335" s="59"/>
      <c r="H335" s="59"/>
      <c r="I335" s="20" t="s">
        <v>312</v>
      </c>
      <c r="J335" s="51">
        <v>8759000</v>
      </c>
      <c r="K335" s="65">
        <v>3</v>
      </c>
      <c r="L335" s="41">
        <v>0</v>
      </c>
      <c r="M335" s="20">
        <v>3</v>
      </c>
      <c r="N335" s="82">
        <v>2664000</v>
      </c>
      <c r="O335" s="86">
        <v>3</v>
      </c>
      <c r="P335" s="86">
        <v>2664000</v>
      </c>
      <c r="Q335" s="91">
        <v>3</v>
      </c>
      <c r="R335" s="80">
        <v>2664000</v>
      </c>
      <c r="S335" s="87">
        <f t="shared" ref="S335:T335" si="309">K335+M335+O335+Q335</f>
        <v>12</v>
      </c>
      <c r="T335" s="18">
        <f t="shared" si="309"/>
        <v>7992000</v>
      </c>
      <c r="U335" s="27">
        <f t="shared" si="308"/>
        <v>1</v>
      </c>
      <c r="V335" s="27">
        <f t="shared" si="302"/>
        <v>0.91243292613312021</v>
      </c>
      <c r="W335" s="11"/>
      <c r="X335" s="11"/>
      <c r="Y335" s="11"/>
      <c r="Z335" s="11"/>
      <c r="AA335" s="20" t="s">
        <v>130</v>
      </c>
      <c r="AB335" s="88"/>
      <c r="AC335" s="22"/>
      <c r="AD335" s="44"/>
      <c r="AE335" s="88"/>
    </row>
    <row r="336" spans="1:31" ht="50" hidden="1">
      <c r="A336" s="56"/>
      <c r="B336" s="48"/>
      <c r="C336" s="59" t="s">
        <v>583</v>
      </c>
      <c r="D336" s="59" t="s">
        <v>576</v>
      </c>
      <c r="E336" s="20"/>
      <c r="F336" s="51"/>
      <c r="G336" s="59"/>
      <c r="H336" s="59"/>
      <c r="I336" s="20" t="s">
        <v>312</v>
      </c>
      <c r="J336" s="51">
        <v>12535000</v>
      </c>
      <c r="K336" s="61">
        <v>3</v>
      </c>
      <c r="L336" s="41">
        <v>0</v>
      </c>
      <c r="M336" s="20">
        <v>3</v>
      </c>
      <c r="N336" s="82">
        <v>888000</v>
      </c>
      <c r="O336" s="86"/>
      <c r="P336" s="86"/>
      <c r="Q336" s="20"/>
      <c r="R336" s="80"/>
      <c r="S336" s="87">
        <f t="shared" ref="S336:T336" si="310">K336+M336+O336+Q336</f>
        <v>6</v>
      </c>
      <c r="T336" s="18">
        <f t="shared" si="310"/>
        <v>888000</v>
      </c>
      <c r="U336" s="27">
        <f t="shared" si="308"/>
        <v>0.5</v>
      </c>
      <c r="V336" s="27">
        <f t="shared" si="302"/>
        <v>7.0841643398484241E-2</v>
      </c>
      <c r="W336" s="11"/>
      <c r="X336" s="11"/>
      <c r="Y336" s="11"/>
      <c r="Z336" s="11"/>
      <c r="AA336" s="20" t="s">
        <v>133</v>
      </c>
      <c r="AB336" s="88"/>
      <c r="AC336" s="22"/>
      <c r="AD336" s="44"/>
      <c r="AE336" s="88"/>
    </row>
    <row r="337" spans="1:31" ht="37.5" hidden="1">
      <c r="A337" s="56"/>
      <c r="B337" s="48"/>
      <c r="C337" s="59" t="s">
        <v>584</v>
      </c>
      <c r="D337" s="59" t="s">
        <v>576</v>
      </c>
      <c r="E337" s="20"/>
      <c r="F337" s="51"/>
      <c r="G337" s="59"/>
      <c r="H337" s="59"/>
      <c r="I337" s="20" t="s">
        <v>312</v>
      </c>
      <c r="J337" s="51">
        <v>12224000</v>
      </c>
      <c r="K337" s="61">
        <v>3</v>
      </c>
      <c r="L337" s="41">
        <v>0</v>
      </c>
      <c r="M337" s="20">
        <v>2</v>
      </c>
      <c r="N337" s="82">
        <v>1776000</v>
      </c>
      <c r="O337" s="86"/>
      <c r="P337" s="86"/>
      <c r="Q337" s="20"/>
      <c r="R337" s="80"/>
      <c r="S337" s="87">
        <f t="shared" ref="S337:T337" si="311">K337+M337+O337+Q337</f>
        <v>5</v>
      </c>
      <c r="T337" s="18">
        <f t="shared" si="311"/>
        <v>1776000</v>
      </c>
      <c r="U337" s="27">
        <f t="shared" si="308"/>
        <v>0.41666666666666669</v>
      </c>
      <c r="V337" s="27">
        <f t="shared" si="302"/>
        <v>0.14528795811518325</v>
      </c>
      <c r="W337" s="11"/>
      <c r="X337" s="11"/>
      <c r="Y337" s="11"/>
      <c r="Z337" s="11"/>
      <c r="AA337" s="20" t="s">
        <v>136</v>
      </c>
      <c r="AB337" s="88"/>
      <c r="AC337" s="22"/>
      <c r="AD337" s="44"/>
      <c r="AE337" s="88"/>
    </row>
    <row r="338" spans="1:31" ht="37.5" hidden="1">
      <c r="A338" s="56"/>
      <c r="B338" s="48"/>
      <c r="C338" s="59" t="s">
        <v>585</v>
      </c>
      <c r="D338" s="59" t="s">
        <v>576</v>
      </c>
      <c r="E338" s="20"/>
      <c r="F338" s="51"/>
      <c r="G338" s="59"/>
      <c r="H338" s="59"/>
      <c r="I338" s="20" t="s">
        <v>342</v>
      </c>
      <c r="J338" s="51">
        <v>8020000</v>
      </c>
      <c r="K338" s="61">
        <v>3</v>
      </c>
      <c r="L338" s="41">
        <v>0</v>
      </c>
      <c r="M338" s="20">
        <v>2</v>
      </c>
      <c r="N338" s="82">
        <v>1808000</v>
      </c>
      <c r="O338" s="86"/>
      <c r="P338" s="86"/>
      <c r="Q338" s="20"/>
      <c r="R338" s="80"/>
      <c r="S338" s="87">
        <f t="shared" ref="S338:T338" si="312">K338+M338+O338+Q338</f>
        <v>5</v>
      </c>
      <c r="T338" s="18">
        <f t="shared" si="312"/>
        <v>1808000</v>
      </c>
      <c r="U338" s="27">
        <f t="shared" si="308"/>
        <v>0.41666666666666669</v>
      </c>
      <c r="V338" s="27">
        <f t="shared" si="302"/>
        <v>0.2254364089775561</v>
      </c>
      <c r="W338" s="11"/>
      <c r="X338" s="11"/>
      <c r="Y338" s="11"/>
      <c r="Z338" s="11"/>
      <c r="AA338" s="20" t="s">
        <v>139</v>
      </c>
      <c r="AB338" s="88"/>
      <c r="AC338" s="22"/>
      <c r="AD338" s="44"/>
      <c r="AE338" s="88"/>
    </row>
    <row r="339" spans="1:31" ht="37.5" hidden="1">
      <c r="A339" s="56"/>
      <c r="B339" s="48"/>
      <c r="C339" s="59" t="s">
        <v>586</v>
      </c>
      <c r="D339" s="59" t="s">
        <v>576</v>
      </c>
      <c r="E339" s="20"/>
      <c r="F339" s="51"/>
      <c r="G339" s="59"/>
      <c r="H339" s="59"/>
      <c r="I339" s="20" t="s">
        <v>312</v>
      </c>
      <c r="J339" s="51">
        <v>603000</v>
      </c>
      <c r="K339" s="61">
        <v>3</v>
      </c>
      <c r="L339" s="41">
        <v>0</v>
      </c>
      <c r="M339" s="20">
        <v>2</v>
      </c>
      <c r="N339" s="82">
        <v>0</v>
      </c>
      <c r="O339" s="86"/>
      <c r="P339" s="86"/>
      <c r="Q339" s="20"/>
      <c r="R339" s="80"/>
      <c r="S339" s="87">
        <f t="shared" ref="S339:T339" si="313">K339+M339+O339+Q339</f>
        <v>5</v>
      </c>
      <c r="T339" s="18">
        <f t="shared" si="313"/>
        <v>0</v>
      </c>
      <c r="U339" s="27">
        <f t="shared" si="308"/>
        <v>0.41666666666666669</v>
      </c>
      <c r="V339" s="27">
        <f t="shared" si="302"/>
        <v>0</v>
      </c>
      <c r="W339" s="11"/>
      <c r="X339" s="11"/>
      <c r="Y339" s="11"/>
      <c r="Z339" s="11"/>
      <c r="AA339" s="20" t="s">
        <v>142</v>
      </c>
      <c r="AB339" s="88"/>
      <c r="AC339" s="22"/>
      <c r="AD339" s="44"/>
      <c r="AE339" s="88"/>
    </row>
    <row r="340" spans="1:31" ht="37.5" hidden="1">
      <c r="A340" s="56"/>
      <c r="B340" s="48"/>
      <c r="C340" s="59" t="s">
        <v>587</v>
      </c>
      <c r="D340" s="59" t="s">
        <v>576</v>
      </c>
      <c r="E340" s="20"/>
      <c r="F340" s="51"/>
      <c r="G340" s="59"/>
      <c r="H340" s="59"/>
      <c r="I340" s="20" t="s">
        <v>312</v>
      </c>
      <c r="J340" s="51">
        <v>12637000</v>
      </c>
      <c r="K340" s="61">
        <v>3</v>
      </c>
      <c r="L340" s="41">
        <v>0</v>
      </c>
      <c r="M340" s="20">
        <v>2</v>
      </c>
      <c r="N340" s="82">
        <v>1776000</v>
      </c>
      <c r="O340" s="86"/>
      <c r="P340" s="86"/>
      <c r="Q340" s="20"/>
      <c r="R340" s="80"/>
      <c r="S340" s="87">
        <f t="shared" ref="S340:T340" si="314">K340+M340+O340+Q340</f>
        <v>5</v>
      </c>
      <c r="T340" s="18">
        <f t="shared" si="314"/>
        <v>1776000</v>
      </c>
      <c r="U340" s="27">
        <f t="shared" si="308"/>
        <v>0.41666666666666669</v>
      </c>
      <c r="V340" s="27">
        <f t="shared" si="302"/>
        <v>0.14053968505183193</v>
      </c>
      <c r="W340" s="11"/>
      <c r="X340" s="11"/>
      <c r="Y340" s="11"/>
      <c r="Z340" s="11"/>
      <c r="AA340" s="20" t="s">
        <v>145</v>
      </c>
      <c r="AB340" s="88"/>
      <c r="AC340" s="22"/>
      <c r="AD340" s="44"/>
      <c r="AE340" s="88"/>
    </row>
    <row r="341" spans="1:31" ht="37.5" hidden="1">
      <c r="A341" s="56"/>
      <c r="B341" s="48"/>
      <c r="C341" s="59" t="s">
        <v>588</v>
      </c>
      <c r="D341" s="59" t="s">
        <v>576</v>
      </c>
      <c r="E341" s="20"/>
      <c r="F341" s="51"/>
      <c r="G341" s="59"/>
      <c r="H341" s="59"/>
      <c r="I341" s="20" t="s">
        <v>312</v>
      </c>
      <c r="J341" s="51">
        <v>18757000</v>
      </c>
      <c r="K341" s="61">
        <v>3</v>
      </c>
      <c r="L341" s="41">
        <v>0</v>
      </c>
      <c r="M341" s="20">
        <v>2</v>
      </c>
      <c r="N341" s="82">
        <v>0</v>
      </c>
      <c r="O341" s="86"/>
      <c r="P341" s="86"/>
      <c r="Q341" s="20"/>
      <c r="R341" s="80"/>
      <c r="S341" s="87">
        <f t="shared" ref="S341:T341" si="315">K341+M341+O341+Q341</f>
        <v>5</v>
      </c>
      <c r="T341" s="18">
        <f t="shared" si="315"/>
        <v>0</v>
      </c>
      <c r="U341" s="27">
        <f t="shared" si="308"/>
        <v>0.41666666666666669</v>
      </c>
      <c r="V341" s="27">
        <f t="shared" si="302"/>
        <v>0</v>
      </c>
      <c r="W341" s="11"/>
      <c r="X341" s="11"/>
      <c r="Y341" s="11"/>
      <c r="Z341" s="11"/>
      <c r="AA341" s="20" t="s">
        <v>148</v>
      </c>
      <c r="AB341" s="88"/>
      <c r="AC341" s="22"/>
      <c r="AD341" s="44"/>
      <c r="AE341" s="88"/>
    </row>
    <row r="342" spans="1:31" ht="37.5" hidden="1">
      <c r="A342" s="56"/>
      <c r="B342" s="48"/>
      <c r="C342" s="59" t="s">
        <v>589</v>
      </c>
      <c r="D342" s="59" t="s">
        <v>576</v>
      </c>
      <c r="E342" s="20"/>
      <c r="F342" s="51"/>
      <c r="G342" s="59"/>
      <c r="H342" s="59"/>
      <c r="I342" s="20" t="s">
        <v>312</v>
      </c>
      <c r="J342" s="51">
        <v>232150</v>
      </c>
      <c r="K342" s="61">
        <v>3</v>
      </c>
      <c r="L342" s="41">
        <v>0</v>
      </c>
      <c r="M342" s="20">
        <v>2</v>
      </c>
      <c r="N342" s="82">
        <v>0</v>
      </c>
      <c r="O342" s="86"/>
      <c r="P342" s="86"/>
      <c r="Q342" s="20"/>
      <c r="R342" s="80"/>
      <c r="S342" s="87">
        <f t="shared" ref="S342:T342" si="316">K342+M342+O342+Q342</f>
        <v>5</v>
      </c>
      <c r="T342" s="18">
        <f t="shared" si="316"/>
        <v>0</v>
      </c>
      <c r="U342" s="27">
        <f t="shared" si="308"/>
        <v>0.41666666666666669</v>
      </c>
      <c r="V342" s="27">
        <f t="shared" si="302"/>
        <v>0</v>
      </c>
      <c r="W342" s="11"/>
      <c r="X342" s="11"/>
      <c r="Y342" s="11"/>
      <c r="Z342" s="11"/>
      <c r="AA342" s="20" t="s">
        <v>151</v>
      </c>
      <c r="AB342" s="88"/>
      <c r="AC342" s="22"/>
      <c r="AD342" s="44"/>
      <c r="AE342" s="88"/>
    </row>
    <row r="343" spans="1:31" ht="37.5" hidden="1">
      <c r="A343" s="56"/>
      <c r="B343" s="48"/>
      <c r="C343" s="59" t="s">
        <v>590</v>
      </c>
      <c r="D343" s="59" t="s">
        <v>576</v>
      </c>
      <c r="E343" s="20"/>
      <c r="F343" s="51"/>
      <c r="G343" s="59"/>
      <c r="H343" s="59"/>
      <c r="I343" s="20" t="s">
        <v>312</v>
      </c>
      <c r="J343" s="51">
        <v>154450</v>
      </c>
      <c r="K343" s="61">
        <v>3</v>
      </c>
      <c r="L343" s="41">
        <v>0</v>
      </c>
      <c r="M343" s="20">
        <v>2</v>
      </c>
      <c r="N343" s="82">
        <v>0</v>
      </c>
      <c r="O343" s="86"/>
      <c r="P343" s="86"/>
      <c r="Q343" s="20"/>
      <c r="R343" s="80"/>
      <c r="S343" s="87">
        <f t="shared" ref="S343:T343" si="317">K343+M343+O343+Q343</f>
        <v>5</v>
      </c>
      <c r="T343" s="18">
        <f t="shared" si="317"/>
        <v>0</v>
      </c>
      <c r="U343" s="27">
        <f t="shared" si="308"/>
        <v>0.41666666666666669</v>
      </c>
      <c r="V343" s="27">
        <f t="shared" si="302"/>
        <v>0</v>
      </c>
      <c r="W343" s="11"/>
      <c r="X343" s="11"/>
      <c r="Y343" s="11"/>
      <c r="Z343" s="11"/>
      <c r="AA343" s="20" t="s">
        <v>154</v>
      </c>
      <c r="AB343" s="88"/>
      <c r="AC343" s="22"/>
      <c r="AD343" s="44"/>
      <c r="AE343" s="88"/>
    </row>
    <row r="344" spans="1:31" ht="37.5" hidden="1">
      <c r="A344" s="56"/>
      <c r="B344" s="48"/>
      <c r="C344" s="59" t="s">
        <v>591</v>
      </c>
      <c r="D344" s="59" t="s">
        <v>576</v>
      </c>
      <c r="E344" s="20"/>
      <c r="F344" s="51"/>
      <c r="G344" s="59"/>
      <c r="H344" s="59"/>
      <c r="I344" s="20" t="s">
        <v>312</v>
      </c>
      <c r="J344" s="51">
        <v>10284000</v>
      </c>
      <c r="K344" s="61">
        <v>3</v>
      </c>
      <c r="L344" s="41">
        <v>0</v>
      </c>
      <c r="M344" s="20">
        <v>2</v>
      </c>
      <c r="N344" s="82">
        <v>1776000</v>
      </c>
      <c r="O344" s="86"/>
      <c r="P344" s="86"/>
      <c r="Q344" s="20"/>
      <c r="R344" s="80"/>
      <c r="S344" s="87">
        <f t="shared" ref="S344:T344" si="318">K344+M344+O344+Q344</f>
        <v>5</v>
      </c>
      <c r="T344" s="18">
        <f t="shared" si="318"/>
        <v>1776000</v>
      </c>
      <c r="U344" s="27">
        <f t="shared" si="308"/>
        <v>0.41666666666666669</v>
      </c>
      <c r="V344" s="27">
        <f t="shared" si="302"/>
        <v>0.17269544924154026</v>
      </c>
      <c r="W344" s="11"/>
      <c r="X344" s="11"/>
      <c r="Y344" s="11"/>
      <c r="Z344" s="11"/>
      <c r="AA344" s="20" t="s">
        <v>157</v>
      </c>
      <c r="AB344" s="88"/>
      <c r="AC344" s="22"/>
      <c r="AD344" s="44"/>
      <c r="AE344" s="88"/>
    </row>
    <row r="345" spans="1:31" ht="65" hidden="1">
      <c r="A345" s="56"/>
      <c r="B345" s="48"/>
      <c r="C345" s="39" t="s">
        <v>592</v>
      </c>
      <c r="D345" s="66" t="s">
        <v>593</v>
      </c>
      <c r="E345" s="25">
        <v>1</v>
      </c>
      <c r="F345" s="51"/>
      <c r="G345" s="59"/>
      <c r="H345" s="59"/>
      <c r="I345" s="25">
        <v>1</v>
      </c>
      <c r="J345" s="51"/>
      <c r="K345" s="25">
        <v>1</v>
      </c>
      <c r="L345" s="41"/>
      <c r="M345" s="25">
        <v>1</v>
      </c>
      <c r="N345" s="82"/>
      <c r="O345" s="86"/>
      <c r="P345" s="86"/>
      <c r="Q345" s="20"/>
      <c r="R345" s="80"/>
      <c r="S345" s="87"/>
      <c r="T345" s="18"/>
      <c r="U345" s="27"/>
      <c r="V345" s="27"/>
      <c r="W345" s="11"/>
      <c r="X345" s="11"/>
      <c r="Y345" s="11"/>
      <c r="Z345" s="11"/>
      <c r="AA345" s="20"/>
      <c r="AB345" s="88"/>
      <c r="AC345" s="22"/>
      <c r="AD345" s="93">
        <f>J348</f>
        <v>46748800</v>
      </c>
      <c r="AE345" s="70">
        <f>T348</f>
        <v>26594012</v>
      </c>
    </row>
    <row r="346" spans="1:31" ht="39" hidden="1">
      <c r="A346" s="56"/>
      <c r="B346" s="48"/>
      <c r="C346" s="49"/>
      <c r="D346" s="66" t="s">
        <v>594</v>
      </c>
      <c r="E346" s="25">
        <v>3.5529999999999999</v>
      </c>
      <c r="F346" s="51"/>
      <c r="G346" s="59"/>
      <c r="H346" s="59"/>
      <c r="I346" s="25">
        <v>1</v>
      </c>
      <c r="J346" s="51"/>
      <c r="K346" s="16">
        <v>0.96289999999999998</v>
      </c>
      <c r="L346" s="41"/>
      <c r="M346" s="16">
        <v>0.96289999999999998</v>
      </c>
      <c r="N346" s="82"/>
      <c r="O346" s="86"/>
      <c r="P346" s="86"/>
      <c r="Q346" s="20"/>
      <c r="R346" s="80"/>
      <c r="S346" s="87"/>
      <c r="T346" s="18"/>
      <c r="U346" s="27"/>
      <c r="V346" s="27"/>
      <c r="W346" s="11"/>
      <c r="X346" s="11"/>
      <c r="Y346" s="11"/>
      <c r="Z346" s="11"/>
      <c r="AA346" s="20"/>
      <c r="AB346" s="88"/>
      <c r="AC346" s="22"/>
      <c r="AD346" s="44"/>
      <c r="AE346" s="88"/>
    </row>
    <row r="347" spans="1:31" ht="26" hidden="1">
      <c r="A347" s="56"/>
      <c r="B347" s="48"/>
      <c r="C347" s="57"/>
      <c r="D347" s="66" t="s">
        <v>595</v>
      </c>
      <c r="E347" s="25">
        <v>1</v>
      </c>
      <c r="F347" s="51"/>
      <c r="G347" s="59"/>
      <c r="H347" s="59"/>
      <c r="I347" s="10">
        <v>3.5529999999999999</v>
      </c>
      <c r="J347" s="51"/>
      <c r="K347" s="29">
        <v>3.4889999999999999</v>
      </c>
      <c r="L347" s="41"/>
      <c r="M347" s="29">
        <v>3.4889999999999999</v>
      </c>
      <c r="N347" s="82"/>
      <c r="O347" s="86"/>
      <c r="P347" s="86"/>
      <c r="Q347" s="20"/>
      <c r="R347" s="80"/>
      <c r="S347" s="87"/>
      <c r="T347" s="18"/>
      <c r="U347" s="27"/>
      <c r="V347" s="27"/>
      <c r="W347" s="11"/>
      <c r="X347" s="11"/>
      <c r="Y347" s="11"/>
      <c r="Z347" s="11"/>
      <c r="AA347" s="20"/>
      <c r="AB347" s="88"/>
      <c r="AC347" s="22"/>
      <c r="AD347" s="44"/>
      <c r="AE347" s="88"/>
    </row>
    <row r="348" spans="1:31" ht="87.5" hidden="1">
      <c r="A348" s="56"/>
      <c r="B348" s="48"/>
      <c r="C348" s="59" t="s">
        <v>596</v>
      </c>
      <c r="D348" s="59" t="s">
        <v>597</v>
      </c>
      <c r="E348" s="20" t="s">
        <v>598</v>
      </c>
      <c r="F348" s="51">
        <v>100000000</v>
      </c>
      <c r="G348" s="59"/>
      <c r="H348" s="59"/>
      <c r="I348" s="20" t="s">
        <v>599</v>
      </c>
      <c r="J348" s="51">
        <v>46748800</v>
      </c>
      <c r="K348" s="61">
        <v>17</v>
      </c>
      <c r="L348" s="41">
        <v>13434012</v>
      </c>
      <c r="M348" s="20">
        <v>10</v>
      </c>
      <c r="N348" s="82">
        <f>18494012-L348</f>
        <v>5060000</v>
      </c>
      <c r="O348" s="86"/>
      <c r="P348" s="86">
        <f>26594012-L348-N348</f>
        <v>8100000</v>
      </c>
      <c r="Q348" s="20"/>
      <c r="R348" s="80"/>
      <c r="S348" s="87">
        <f t="shared" ref="S348:T348" si="319">K348+M348+O348+Q348</f>
        <v>27</v>
      </c>
      <c r="T348" s="18">
        <f t="shared" si="319"/>
        <v>26594012</v>
      </c>
      <c r="U348" s="27">
        <f>S348/65</f>
        <v>0.41538461538461541</v>
      </c>
      <c r="V348" s="27">
        <f>T348/J348</f>
        <v>0.56887047368060784</v>
      </c>
      <c r="W348" s="11"/>
      <c r="X348" s="11"/>
      <c r="Y348" s="11"/>
      <c r="Z348" s="11"/>
      <c r="AA348" s="20" t="s">
        <v>56</v>
      </c>
      <c r="AB348" s="88"/>
      <c r="AC348" s="22"/>
      <c r="AD348" s="44"/>
      <c r="AE348" s="88"/>
    </row>
    <row r="349" spans="1:31" ht="14.5" hidden="1">
      <c r="A349" s="94"/>
      <c r="B349" s="179" t="s">
        <v>600</v>
      </c>
      <c r="C349" s="166"/>
      <c r="D349" s="166"/>
      <c r="E349" s="166"/>
      <c r="F349" s="166"/>
      <c r="G349" s="166"/>
      <c r="H349" s="166"/>
      <c r="I349" s="166"/>
      <c r="J349" s="157"/>
      <c r="K349" s="61"/>
      <c r="L349" s="41"/>
      <c r="M349" s="20"/>
      <c r="N349" s="82"/>
      <c r="O349" s="86"/>
      <c r="P349" s="86"/>
      <c r="Q349" s="20"/>
      <c r="R349" s="80"/>
      <c r="S349" s="87"/>
      <c r="T349" s="18"/>
      <c r="U349" s="27">
        <f t="shared" ref="U349:V349" si="320">AVERAGE(U31:U348)</f>
        <v>0.46147154892074049</v>
      </c>
      <c r="V349" s="27">
        <f t="shared" si="320"/>
        <v>0.15726228640276019</v>
      </c>
      <c r="W349" s="11"/>
      <c r="X349" s="11"/>
      <c r="Y349" s="11"/>
      <c r="Z349" s="11"/>
      <c r="AA349" s="20"/>
      <c r="AB349" s="88"/>
      <c r="AC349" s="22"/>
      <c r="AD349" s="44"/>
      <c r="AE349" s="88"/>
    </row>
    <row r="350" spans="1:31" ht="14.5" hidden="1">
      <c r="A350" s="95"/>
      <c r="B350" s="179" t="s">
        <v>601</v>
      </c>
      <c r="C350" s="166"/>
      <c r="D350" s="166"/>
      <c r="E350" s="166"/>
      <c r="F350" s="166"/>
      <c r="G350" s="166"/>
      <c r="H350" s="166"/>
      <c r="I350" s="166"/>
      <c r="J350" s="157"/>
      <c r="K350" s="61"/>
      <c r="L350" s="41"/>
      <c r="M350" s="20"/>
      <c r="N350" s="82"/>
      <c r="O350" s="86"/>
      <c r="P350" s="86"/>
      <c r="Q350" s="20"/>
      <c r="R350" s="80"/>
      <c r="S350" s="87"/>
      <c r="T350" s="18"/>
      <c r="U350" s="27"/>
      <c r="V350" s="27"/>
      <c r="W350" s="11"/>
      <c r="X350" s="11"/>
      <c r="Y350" s="11"/>
      <c r="Z350" s="11"/>
      <c r="AA350" s="20"/>
      <c r="AB350" s="88"/>
      <c r="AC350" s="88"/>
      <c r="AD350" s="44"/>
      <c r="AE350" s="88"/>
    </row>
    <row r="351" spans="1:31" ht="65" hidden="1">
      <c r="A351" s="23"/>
      <c r="B351" s="96"/>
      <c r="C351" s="39" t="s">
        <v>602</v>
      </c>
      <c r="D351" s="97" t="s">
        <v>603</v>
      </c>
      <c r="E351" s="25">
        <v>0.92</v>
      </c>
      <c r="F351" s="51">
        <v>2910798000</v>
      </c>
      <c r="G351" s="59"/>
      <c r="H351" s="59"/>
      <c r="I351" s="25">
        <v>0.9</v>
      </c>
      <c r="J351" s="51"/>
      <c r="K351" s="16">
        <v>0.94799999999999995</v>
      </c>
      <c r="L351" s="77"/>
      <c r="M351" s="35">
        <v>0.94785276073619629</v>
      </c>
      <c r="N351" s="82"/>
      <c r="O351" s="86"/>
      <c r="P351" s="86"/>
      <c r="Q351" s="10"/>
      <c r="R351" s="80"/>
      <c r="S351" s="87"/>
      <c r="T351" s="18"/>
      <c r="U351" s="16">
        <f>S351/I351</f>
        <v>0</v>
      </c>
      <c r="V351" s="27"/>
      <c r="W351" s="11"/>
      <c r="X351" s="11"/>
      <c r="Y351" s="11"/>
      <c r="Z351" s="11"/>
      <c r="AA351" s="20"/>
      <c r="AB351" s="69">
        <f>SUM(J353:J358)</f>
        <v>849795400</v>
      </c>
      <c r="AC351" s="69">
        <f>SUM(T353:T358)</f>
        <v>615090000</v>
      </c>
      <c r="AD351" s="44"/>
      <c r="AE351" s="88"/>
    </row>
    <row r="352" spans="1:31" ht="52" hidden="1">
      <c r="A352" s="23"/>
      <c r="B352" s="96"/>
      <c r="C352" s="39" t="s">
        <v>604</v>
      </c>
      <c r="D352" s="97" t="s">
        <v>605</v>
      </c>
      <c r="E352" s="25">
        <v>0.9</v>
      </c>
      <c r="F352" s="59"/>
      <c r="G352" s="59"/>
      <c r="H352" s="59"/>
      <c r="I352" s="25">
        <v>0.9</v>
      </c>
      <c r="J352" s="51"/>
      <c r="K352" s="16">
        <v>0.879</v>
      </c>
      <c r="L352" s="77"/>
      <c r="M352" s="16">
        <v>2E-3</v>
      </c>
      <c r="N352" s="82"/>
      <c r="O352" s="86"/>
      <c r="P352" s="86"/>
      <c r="Q352" s="10"/>
      <c r="R352" s="80"/>
      <c r="S352" s="87"/>
      <c r="T352" s="18"/>
      <c r="U352" s="16"/>
      <c r="V352" s="27"/>
      <c r="W352" s="11"/>
      <c r="X352" s="11"/>
      <c r="Y352" s="11"/>
      <c r="Z352" s="11"/>
      <c r="AA352" s="20"/>
      <c r="AB352" s="69"/>
      <c r="AC352" s="98"/>
      <c r="AD352" s="93">
        <f>J353</f>
        <v>3600000</v>
      </c>
      <c r="AE352" s="70">
        <f>T353</f>
        <v>900000</v>
      </c>
    </row>
    <row r="353" spans="1:31" ht="75" hidden="1">
      <c r="A353" s="23"/>
      <c r="B353" s="96"/>
      <c r="C353" s="99" t="s">
        <v>606</v>
      </c>
      <c r="D353" s="60" t="s">
        <v>607</v>
      </c>
      <c r="E353" s="20" t="s">
        <v>412</v>
      </c>
      <c r="F353" s="51">
        <v>57740000</v>
      </c>
      <c r="G353" s="59"/>
      <c r="H353" s="59"/>
      <c r="I353" s="20" t="s">
        <v>413</v>
      </c>
      <c r="J353" s="51">
        <v>3600000</v>
      </c>
      <c r="K353" s="61">
        <v>0</v>
      </c>
      <c r="L353" s="41">
        <v>900000</v>
      </c>
      <c r="M353" s="20">
        <v>0</v>
      </c>
      <c r="N353" s="82">
        <f>900000-L353</f>
        <v>0</v>
      </c>
      <c r="O353" s="86"/>
      <c r="P353" s="86">
        <f>900000-L353-N353</f>
        <v>0</v>
      </c>
      <c r="Q353" s="10"/>
      <c r="R353" s="80"/>
      <c r="S353" s="87">
        <f t="shared" ref="S353:T353" si="321">K353+M353+O353+Q353</f>
        <v>0</v>
      </c>
      <c r="T353" s="18">
        <f t="shared" si="321"/>
        <v>900000</v>
      </c>
      <c r="U353" s="27">
        <f>S353/1</f>
        <v>0</v>
      </c>
      <c r="V353" s="27">
        <f>T353/J353</f>
        <v>0.25</v>
      </c>
      <c r="W353" s="11"/>
      <c r="X353" s="11"/>
      <c r="Y353" s="11"/>
      <c r="Z353" s="11"/>
      <c r="AA353" s="20" t="s">
        <v>56</v>
      </c>
      <c r="AB353" s="69"/>
      <c r="AC353" s="98"/>
      <c r="AD353" s="44"/>
      <c r="AE353" s="88"/>
    </row>
    <row r="354" spans="1:31" ht="78" hidden="1">
      <c r="A354" s="23"/>
      <c r="B354" s="96"/>
      <c r="C354" s="39" t="s">
        <v>608</v>
      </c>
      <c r="D354" s="97" t="s">
        <v>609</v>
      </c>
      <c r="E354" s="25">
        <v>0.9</v>
      </c>
      <c r="F354" s="51"/>
      <c r="G354" s="59"/>
      <c r="H354" s="59"/>
      <c r="I354" s="25">
        <v>0.9</v>
      </c>
      <c r="J354" s="51"/>
      <c r="K354" s="16">
        <v>0.78300000000000003</v>
      </c>
      <c r="L354" s="77"/>
      <c r="M354" s="16">
        <v>0.78300000000000003</v>
      </c>
      <c r="N354" s="82"/>
      <c r="O354" s="86"/>
      <c r="P354" s="86"/>
      <c r="Q354" s="10"/>
      <c r="R354" s="80"/>
      <c r="S354" s="87"/>
      <c r="T354" s="18"/>
      <c r="U354" s="27"/>
      <c r="V354" s="27"/>
      <c r="W354" s="11"/>
      <c r="X354" s="11"/>
      <c r="Y354" s="11"/>
      <c r="Z354" s="11"/>
      <c r="AA354" s="20"/>
      <c r="AB354" s="69"/>
      <c r="AC354" s="98"/>
      <c r="AD354" s="93">
        <f>SUM(J355:J356)</f>
        <v>42940000</v>
      </c>
      <c r="AE354" s="70">
        <f>SUM(T355:T356)</f>
        <v>5320000</v>
      </c>
    </row>
    <row r="355" spans="1:31" ht="50" hidden="1">
      <c r="A355" s="23"/>
      <c r="B355" s="96"/>
      <c r="C355" s="99" t="s">
        <v>610</v>
      </c>
      <c r="D355" s="60" t="s">
        <v>611</v>
      </c>
      <c r="E355" s="20" t="s">
        <v>412</v>
      </c>
      <c r="F355" s="51">
        <v>39656000</v>
      </c>
      <c r="G355" s="59"/>
      <c r="H355" s="59"/>
      <c r="I355" s="20" t="s">
        <v>437</v>
      </c>
      <c r="J355" s="51">
        <v>22080000</v>
      </c>
      <c r="K355" s="61">
        <v>0</v>
      </c>
      <c r="L355" s="100">
        <v>0</v>
      </c>
      <c r="M355" s="20">
        <v>0</v>
      </c>
      <c r="N355" s="82">
        <v>0</v>
      </c>
      <c r="O355" s="86"/>
      <c r="P355" s="86">
        <v>0</v>
      </c>
      <c r="Q355" s="10"/>
      <c r="R355" s="80"/>
      <c r="S355" s="87">
        <f t="shared" ref="S355:T355" si="322">K355+M355+O355+Q355</f>
        <v>0</v>
      </c>
      <c r="T355" s="18">
        <f t="shared" si="322"/>
        <v>0</v>
      </c>
      <c r="U355" s="27">
        <f>S355/1</f>
        <v>0</v>
      </c>
      <c r="V355" s="27">
        <f t="shared" ref="V355:V356" si="323">T355/J355</f>
        <v>0</v>
      </c>
      <c r="W355" s="11"/>
      <c r="X355" s="11"/>
      <c r="Y355" s="11"/>
      <c r="Z355" s="11"/>
      <c r="AA355" s="20" t="s">
        <v>56</v>
      </c>
      <c r="AB355" s="69"/>
      <c r="AC355" s="98"/>
      <c r="AD355" s="93"/>
      <c r="AE355" s="70"/>
    </row>
    <row r="356" spans="1:31" ht="50" hidden="1">
      <c r="A356" s="23"/>
      <c r="B356" s="96"/>
      <c r="C356" s="99" t="s">
        <v>612</v>
      </c>
      <c r="D356" s="60" t="s">
        <v>613</v>
      </c>
      <c r="E356" s="20"/>
      <c r="F356" s="59"/>
      <c r="G356" s="59"/>
      <c r="H356" s="59"/>
      <c r="I356" s="20" t="s">
        <v>337</v>
      </c>
      <c r="J356" s="51">
        <v>20860000</v>
      </c>
      <c r="K356" s="61">
        <v>0</v>
      </c>
      <c r="L356" s="100">
        <v>0</v>
      </c>
      <c r="M356" s="20">
        <v>0</v>
      </c>
      <c r="N356" s="82">
        <v>0</v>
      </c>
      <c r="O356" s="86"/>
      <c r="P356" s="86">
        <f>5320000-L356-N356</f>
        <v>5320000</v>
      </c>
      <c r="Q356" s="10"/>
      <c r="R356" s="80"/>
      <c r="S356" s="87">
        <f t="shared" ref="S356:T356" si="324">K356+M356+O356+Q356</f>
        <v>0</v>
      </c>
      <c r="T356" s="18">
        <f t="shared" si="324"/>
        <v>5320000</v>
      </c>
      <c r="U356" s="27">
        <f>S356/4</f>
        <v>0</v>
      </c>
      <c r="V356" s="27">
        <f t="shared" si="323"/>
        <v>0.25503355704697989</v>
      </c>
      <c r="W356" s="11"/>
      <c r="X356" s="11"/>
      <c r="Y356" s="11"/>
      <c r="Z356" s="11"/>
      <c r="AA356" s="20" t="s">
        <v>56</v>
      </c>
      <c r="AB356" s="69"/>
      <c r="AC356" s="98"/>
      <c r="AD356" s="44"/>
      <c r="AE356" s="88"/>
    </row>
    <row r="357" spans="1:31" ht="78" hidden="1">
      <c r="A357" s="23"/>
      <c r="B357" s="96"/>
      <c r="C357" s="39" t="s">
        <v>614</v>
      </c>
      <c r="D357" s="97" t="s">
        <v>615</v>
      </c>
      <c r="E357" s="25">
        <v>0.75</v>
      </c>
      <c r="F357" s="59"/>
      <c r="G357" s="59"/>
      <c r="H357" s="59"/>
      <c r="I357" s="25">
        <v>0.75</v>
      </c>
      <c r="J357" s="51"/>
      <c r="K357" s="25">
        <v>0</v>
      </c>
      <c r="L357" s="77"/>
      <c r="M357" s="25">
        <v>0.28000000000000003</v>
      </c>
      <c r="N357" s="82"/>
      <c r="O357" s="86"/>
      <c r="P357" s="86"/>
      <c r="Q357" s="10"/>
      <c r="R357" s="80"/>
      <c r="S357" s="87"/>
      <c r="T357" s="18"/>
      <c r="U357" s="27"/>
      <c r="V357" s="27"/>
      <c r="W357" s="11"/>
      <c r="X357" s="11"/>
      <c r="Y357" s="11"/>
      <c r="Z357" s="11"/>
      <c r="AA357" s="20"/>
      <c r="AB357" s="69"/>
      <c r="AC357" s="98"/>
      <c r="AD357" s="93">
        <f>J358</f>
        <v>803255400</v>
      </c>
      <c r="AE357" s="70">
        <f>T358</f>
        <v>608870000</v>
      </c>
    </row>
    <row r="358" spans="1:31" ht="62.5" hidden="1">
      <c r="A358" s="23"/>
      <c r="B358" s="96"/>
      <c r="C358" s="99" t="s">
        <v>614</v>
      </c>
      <c r="D358" s="60" t="s">
        <v>616</v>
      </c>
      <c r="E358" s="20" t="s">
        <v>617</v>
      </c>
      <c r="F358" s="51">
        <v>1563402000</v>
      </c>
      <c r="G358" s="59"/>
      <c r="H358" s="59"/>
      <c r="I358" s="20" t="s">
        <v>618</v>
      </c>
      <c r="J358" s="51">
        <v>803255400</v>
      </c>
      <c r="K358" s="61">
        <v>0</v>
      </c>
      <c r="L358" s="101">
        <v>0</v>
      </c>
      <c r="M358" s="20">
        <v>36</v>
      </c>
      <c r="N358" s="82">
        <v>0</v>
      </c>
      <c r="O358" s="86"/>
      <c r="P358" s="86">
        <f>608870000-L358-N358</f>
        <v>608870000</v>
      </c>
      <c r="Q358" s="10"/>
      <c r="R358" s="80"/>
      <c r="S358" s="87">
        <f t="shared" ref="S358:T358" si="325">K358+M358+O358+Q358</f>
        <v>36</v>
      </c>
      <c r="T358" s="18">
        <f t="shared" si="325"/>
        <v>608870000</v>
      </c>
      <c r="U358" s="27">
        <f>S358/163</f>
        <v>0.22085889570552147</v>
      </c>
      <c r="V358" s="27">
        <f>T358/J358</f>
        <v>0.75800299630727663</v>
      </c>
      <c r="W358" s="11"/>
      <c r="X358" s="11"/>
      <c r="Y358" s="11"/>
      <c r="Z358" s="11"/>
      <c r="AA358" s="20" t="s">
        <v>56</v>
      </c>
      <c r="AB358" s="69"/>
      <c r="AC358" s="98"/>
      <c r="AD358" s="44"/>
      <c r="AE358" s="88"/>
    </row>
    <row r="359" spans="1:31" ht="14.5" hidden="1">
      <c r="A359" s="56"/>
      <c r="B359" s="179" t="s">
        <v>600</v>
      </c>
      <c r="C359" s="166"/>
      <c r="D359" s="166"/>
      <c r="E359" s="166"/>
      <c r="F359" s="166"/>
      <c r="G359" s="166"/>
      <c r="H359" s="166"/>
      <c r="I359" s="166"/>
      <c r="J359" s="157"/>
      <c r="K359" s="61"/>
      <c r="L359" s="77"/>
      <c r="M359" s="20"/>
      <c r="N359" s="82"/>
      <c r="O359" s="86"/>
      <c r="P359" s="86"/>
      <c r="Q359" s="20"/>
      <c r="R359" s="80"/>
      <c r="S359" s="87"/>
      <c r="T359" s="18"/>
      <c r="U359" s="27">
        <f t="shared" ref="U359:V359" si="326">AVERAGE(U352:U358)</f>
        <v>5.5214723926380369E-2</v>
      </c>
      <c r="V359" s="27">
        <f t="shared" si="326"/>
        <v>0.31575913833856417</v>
      </c>
      <c r="W359" s="11"/>
      <c r="X359" s="11"/>
      <c r="Y359" s="11"/>
      <c r="Z359" s="11"/>
      <c r="AA359" s="20"/>
      <c r="AB359" s="88"/>
      <c r="AC359" s="22"/>
      <c r="AD359" s="44"/>
      <c r="AE359" s="88"/>
    </row>
    <row r="360" spans="1:31" ht="14.5" hidden="1">
      <c r="A360" s="56"/>
      <c r="B360" s="179" t="s">
        <v>601</v>
      </c>
      <c r="C360" s="166"/>
      <c r="D360" s="166"/>
      <c r="E360" s="166"/>
      <c r="F360" s="166"/>
      <c r="G360" s="166"/>
      <c r="H360" s="166"/>
      <c r="I360" s="166"/>
      <c r="J360" s="157"/>
      <c r="K360" s="61"/>
      <c r="L360" s="75"/>
      <c r="M360" s="20"/>
      <c r="N360" s="64"/>
      <c r="O360" s="86"/>
      <c r="P360" s="86"/>
      <c r="Q360" s="20"/>
      <c r="R360" s="80"/>
      <c r="S360" s="87"/>
      <c r="T360" s="18"/>
      <c r="U360" s="27"/>
      <c r="V360" s="27"/>
      <c r="W360" s="11"/>
      <c r="X360" s="11"/>
      <c r="Y360" s="11"/>
      <c r="Z360" s="11"/>
      <c r="AA360" s="20"/>
      <c r="AB360" s="88"/>
      <c r="AC360" s="22"/>
      <c r="AD360" s="22"/>
      <c r="AE360" s="88"/>
    </row>
    <row r="361" spans="1:31" ht="65" hidden="1">
      <c r="A361" s="23"/>
      <c r="B361" s="96"/>
      <c r="C361" s="102" t="s">
        <v>619</v>
      </c>
      <c r="D361" s="102" t="s">
        <v>620</v>
      </c>
      <c r="E361" s="103">
        <v>1</v>
      </c>
      <c r="F361" s="51">
        <v>693752000</v>
      </c>
      <c r="G361" s="104"/>
      <c r="H361" s="105"/>
      <c r="I361" s="103">
        <v>1</v>
      </c>
      <c r="J361" s="106"/>
      <c r="K361" s="107">
        <v>0.24709999999999999</v>
      </c>
      <c r="L361" s="51"/>
      <c r="M361" s="107">
        <v>3.4090000000000002E-2</v>
      </c>
      <c r="N361" s="108"/>
      <c r="O361" s="86"/>
      <c r="P361" s="86"/>
      <c r="Q361" s="35"/>
      <c r="R361" s="108"/>
      <c r="S361" s="87"/>
      <c r="T361" s="18"/>
      <c r="U361" s="16">
        <f>S361/I361</f>
        <v>0</v>
      </c>
      <c r="V361" s="27"/>
      <c r="W361" s="9"/>
      <c r="X361" s="11"/>
      <c r="Y361" s="11"/>
      <c r="Z361" s="11"/>
      <c r="AA361" s="20"/>
      <c r="AB361" s="69">
        <f>SUM(J363:J367)</f>
        <v>749154000</v>
      </c>
      <c r="AC361" s="69">
        <f>SUM(T363:T367)</f>
        <v>24540000</v>
      </c>
      <c r="AD361" s="22"/>
      <c r="AE361" s="88"/>
    </row>
    <row r="362" spans="1:31" ht="65" hidden="1">
      <c r="A362" s="23"/>
      <c r="B362" s="96"/>
      <c r="C362" s="66" t="s">
        <v>621</v>
      </c>
      <c r="D362" s="66" t="s">
        <v>622</v>
      </c>
      <c r="E362" s="25">
        <v>1</v>
      </c>
      <c r="F362" s="59"/>
      <c r="G362" s="25"/>
      <c r="H362" s="59"/>
      <c r="I362" s="25">
        <v>1</v>
      </c>
      <c r="J362" s="108"/>
      <c r="K362" s="16">
        <v>0</v>
      </c>
      <c r="L362" s="51"/>
      <c r="M362" s="16">
        <v>0</v>
      </c>
      <c r="N362" s="108"/>
      <c r="O362" s="86"/>
      <c r="P362" s="86"/>
      <c r="Q362" s="37"/>
      <c r="R362" s="108"/>
      <c r="S362" s="87"/>
      <c r="T362" s="18"/>
      <c r="U362" s="16"/>
      <c r="V362" s="27"/>
      <c r="W362" s="9"/>
      <c r="X362" s="11"/>
      <c r="Y362" s="11"/>
      <c r="Z362" s="11"/>
      <c r="AA362" s="20"/>
      <c r="AB362" s="88"/>
      <c r="AC362" s="22"/>
      <c r="AD362" s="93">
        <f>J363</f>
        <v>145556000</v>
      </c>
      <c r="AE362" s="70">
        <f>T363</f>
        <v>1200000</v>
      </c>
    </row>
    <row r="363" spans="1:31" ht="100" hidden="1">
      <c r="A363" s="23"/>
      <c r="B363" s="96"/>
      <c r="C363" s="59" t="s">
        <v>623</v>
      </c>
      <c r="D363" s="59" t="s">
        <v>624</v>
      </c>
      <c r="E363" s="109" t="s">
        <v>358</v>
      </c>
      <c r="F363" s="51">
        <v>150000000</v>
      </c>
      <c r="G363" s="25"/>
      <c r="H363" s="59"/>
      <c r="I363" s="109" t="s">
        <v>625</v>
      </c>
      <c r="J363" s="51">
        <v>145556000</v>
      </c>
      <c r="K363" s="20">
        <v>0</v>
      </c>
      <c r="L363" s="41">
        <v>0</v>
      </c>
      <c r="M363" s="20">
        <v>0</v>
      </c>
      <c r="N363" s="51">
        <v>0</v>
      </c>
      <c r="O363" s="86"/>
      <c r="P363" s="86">
        <f>1200000-L363-N363</f>
        <v>1200000</v>
      </c>
      <c r="Q363" s="20"/>
      <c r="R363" s="51"/>
      <c r="S363" s="87">
        <f t="shared" ref="S363:T363" si="327">K363+M363+O363+Q363</f>
        <v>0</v>
      </c>
      <c r="T363" s="18">
        <f t="shared" si="327"/>
        <v>1200000</v>
      </c>
      <c r="U363" s="27">
        <f>S363/60</f>
        <v>0</v>
      </c>
      <c r="V363" s="27">
        <f>T363/J363</f>
        <v>8.2442496358789748E-3</v>
      </c>
      <c r="W363" s="9"/>
      <c r="X363" s="11"/>
      <c r="Y363" s="11"/>
      <c r="Z363" s="11"/>
      <c r="AA363" s="20" t="s">
        <v>56</v>
      </c>
      <c r="AB363" s="88"/>
      <c r="AC363" s="44"/>
      <c r="AD363" s="45"/>
      <c r="AE363" s="88"/>
    </row>
    <row r="364" spans="1:31" ht="117" hidden="1">
      <c r="A364" s="23"/>
      <c r="B364" s="96"/>
      <c r="C364" s="66" t="s">
        <v>626</v>
      </c>
      <c r="D364" s="66" t="s">
        <v>627</v>
      </c>
      <c r="E364" s="25">
        <v>1</v>
      </c>
      <c r="F364" s="59"/>
      <c r="G364" s="59"/>
      <c r="H364" s="59"/>
      <c r="I364" s="25">
        <v>1</v>
      </c>
      <c r="J364" s="51"/>
      <c r="K364" s="16">
        <v>0.36249999999999999</v>
      </c>
      <c r="L364" s="41"/>
      <c r="M364" s="16">
        <v>0.05</v>
      </c>
      <c r="N364" s="51"/>
      <c r="O364" s="86"/>
      <c r="P364" s="86"/>
      <c r="Q364" s="20"/>
      <c r="R364" s="51"/>
      <c r="S364" s="87"/>
      <c r="T364" s="18"/>
      <c r="U364" s="27"/>
      <c r="V364" s="27"/>
      <c r="W364" s="9"/>
      <c r="X364" s="11"/>
      <c r="Y364" s="11"/>
      <c r="Z364" s="11"/>
      <c r="AA364" s="20"/>
      <c r="AB364" s="88"/>
      <c r="AC364" s="22"/>
      <c r="AD364" s="93">
        <f>J365</f>
        <v>385220000</v>
      </c>
      <c r="AE364" s="70">
        <f>T365</f>
        <v>21940000</v>
      </c>
    </row>
    <row r="365" spans="1:31" ht="150" hidden="1">
      <c r="A365" s="23"/>
      <c r="B365" s="96"/>
      <c r="C365" s="59" t="s">
        <v>628</v>
      </c>
      <c r="D365" s="59" t="s">
        <v>629</v>
      </c>
      <c r="E365" s="20" t="s">
        <v>358</v>
      </c>
      <c r="F365" s="51">
        <v>350800000</v>
      </c>
      <c r="G365" s="59"/>
      <c r="H365" s="59"/>
      <c r="I365" s="20" t="s">
        <v>630</v>
      </c>
      <c r="J365" s="51">
        <v>385220000</v>
      </c>
      <c r="K365" s="20">
        <v>87</v>
      </c>
      <c r="L365" s="51">
        <v>0</v>
      </c>
      <c r="M365" s="20">
        <v>12</v>
      </c>
      <c r="N365" s="108">
        <v>0</v>
      </c>
      <c r="O365" s="86"/>
      <c r="P365" s="86">
        <f>21940000-L365-N365</f>
        <v>21940000</v>
      </c>
      <c r="Q365" s="108"/>
      <c r="R365" s="108"/>
      <c r="S365" s="87">
        <f t="shared" ref="S365:T365" si="328">K365+M365+O365+Q365</f>
        <v>99</v>
      </c>
      <c r="T365" s="18">
        <f t="shared" si="328"/>
        <v>21940000</v>
      </c>
      <c r="U365" s="27">
        <f>S365/240</f>
        <v>0.41249999999999998</v>
      </c>
      <c r="V365" s="27">
        <f>T365/J365</f>
        <v>5.6954467576969002E-2</v>
      </c>
      <c r="W365" s="9"/>
      <c r="X365" s="11"/>
      <c r="Y365" s="11"/>
      <c r="Z365" s="11"/>
      <c r="AA365" s="20" t="s">
        <v>56</v>
      </c>
      <c r="AB365" s="88"/>
      <c r="AC365" s="22"/>
      <c r="AD365" s="22"/>
      <c r="AE365" s="88"/>
    </row>
    <row r="366" spans="1:31" ht="78" hidden="1">
      <c r="A366" s="23"/>
      <c r="B366" s="96"/>
      <c r="C366" s="66" t="s">
        <v>631</v>
      </c>
      <c r="D366" s="66" t="s">
        <v>632</v>
      </c>
      <c r="E366" s="25">
        <v>0.9</v>
      </c>
      <c r="F366" s="59"/>
      <c r="G366" s="16"/>
      <c r="H366" s="59"/>
      <c r="I366" s="25">
        <v>0.9</v>
      </c>
      <c r="J366" s="51"/>
      <c r="K366" s="16">
        <v>0</v>
      </c>
      <c r="L366" s="51"/>
      <c r="M366" s="16">
        <v>0</v>
      </c>
      <c r="N366" s="108"/>
      <c r="O366" s="86"/>
      <c r="P366" s="86"/>
      <c r="Q366" s="37"/>
      <c r="R366" s="108"/>
      <c r="S366" s="87"/>
      <c r="T366" s="18"/>
      <c r="U366" s="16"/>
      <c r="V366" s="27"/>
      <c r="W366" s="9"/>
      <c r="X366" s="11"/>
      <c r="Y366" s="11"/>
      <c r="Z366" s="11"/>
      <c r="AA366" s="20"/>
      <c r="AB366" s="88"/>
      <c r="AC366" s="44"/>
      <c r="AD366" s="93">
        <f>J367</f>
        <v>218378000</v>
      </c>
      <c r="AE366" s="70">
        <f>T367</f>
        <v>1400000</v>
      </c>
    </row>
    <row r="367" spans="1:31" ht="87.5" hidden="1">
      <c r="A367" s="23"/>
      <c r="B367" s="96"/>
      <c r="C367" s="59" t="s">
        <v>633</v>
      </c>
      <c r="D367" s="59" t="s">
        <v>634</v>
      </c>
      <c r="E367" s="20" t="s">
        <v>635</v>
      </c>
      <c r="F367" s="51">
        <v>192952000</v>
      </c>
      <c r="G367" s="59"/>
      <c r="H367" s="59"/>
      <c r="I367" s="20" t="s">
        <v>636</v>
      </c>
      <c r="J367" s="51">
        <v>218378000</v>
      </c>
      <c r="K367" s="20">
        <v>0</v>
      </c>
      <c r="L367" s="41">
        <v>0</v>
      </c>
      <c r="M367" s="20">
        <v>0</v>
      </c>
      <c r="N367" s="108">
        <v>0</v>
      </c>
      <c r="O367" s="86"/>
      <c r="P367" s="86">
        <f>1400000-L367-N367</f>
        <v>1400000</v>
      </c>
      <c r="Q367" s="20"/>
      <c r="R367" s="51"/>
      <c r="S367" s="87">
        <f t="shared" ref="S367:T367" si="329">K367+M367+O367+Q367</f>
        <v>0</v>
      </c>
      <c r="T367" s="18">
        <f t="shared" si="329"/>
        <v>1400000</v>
      </c>
      <c r="U367" s="27">
        <f>S367/52</f>
        <v>0</v>
      </c>
      <c r="V367" s="27">
        <f>T367/J367</f>
        <v>6.4109021971077672E-3</v>
      </c>
      <c r="W367" s="9"/>
      <c r="X367" s="11"/>
      <c r="Y367" s="11"/>
      <c r="Z367" s="11"/>
      <c r="AA367" s="20" t="s">
        <v>56</v>
      </c>
      <c r="AB367" s="88"/>
      <c r="AC367" s="22"/>
      <c r="AD367" s="45"/>
      <c r="AE367" s="88"/>
    </row>
    <row r="368" spans="1:31" ht="14.5" hidden="1">
      <c r="A368" s="23"/>
      <c r="B368" s="176" t="s">
        <v>600</v>
      </c>
      <c r="C368" s="166"/>
      <c r="D368" s="166"/>
      <c r="E368" s="166"/>
      <c r="F368" s="166"/>
      <c r="G368" s="166"/>
      <c r="H368" s="166"/>
      <c r="I368" s="166"/>
      <c r="J368" s="157"/>
      <c r="K368" s="20"/>
      <c r="L368" s="51"/>
      <c r="M368" s="110"/>
      <c r="N368" s="108"/>
      <c r="O368" s="86"/>
      <c r="P368" s="86"/>
      <c r="Q368" s="51"/>
      <c r="R368" s="51"/>
      <c r="S368" s="87"/>
      <c r="T368" s="18"/>
      <c r="U368" s="27">
        <f t="shared" ref="U368:V368" si="330">AVERAGE(U362:U367)</f>
        <v>0.13749999999999998</v>
      </c>
      <c r="V368" s="27">
        <f t="shared" si="330"/>
        <v>2.3869873136651915E-2</v>
      </c>
      <c r="W368" s="9"/>
      <c r="X368" s="11"/>
      <c r="Y368" s="11"/>
      <c r="Z368" s="11"/>
      <c r="AA368" s="20"/>
      <c r="AB368" s="88"/>
      <c r="AC368" s="22"/>
      <c r="AD368" s="22"/>
      <c r="AE368" s="88"/>
    </row>
    <row r="369" spans="1:31" ht="14.5" hidden="1">
      <c r="A369" s="23"/>
      <c r="B369" s="176" t="s">
        <v>601</v>
      </c>
      <c r="C369" s="166"/>
      <c r="D369" s="166"/>
      <c r="E369" s="166"/>
      <c r="F369" s="166"/>
      <c r="G369" s="166"/>
      <c r="H369" s="166"/>
      <c r="I369" s="166"/>
      <c r="J369" s="157"/>
      <c r="K369" s="20"/>
      <c r="L369" s="51"/>
      <c r="M369" s="110"/>
      <c r="N369" s="108"/>
      <c r="O369" s="86"/>
      <c r="P369" s="86"/>
      <c r="Q369" s="108"/>
      <c r="R369" s="108"/>
      <c r="S369" s="87"/>
      <c r="T369" s="18"/>
      <c r="U369" s="27"/>
      <c r="V369" s="27"/>
      <c r="W369" s="9"/>
      <c r="X369" s="11"/>
      <c r="Y369" s="11"/>
      <c r="Z369" s="11"/>
      <c r="AA369" s="20"/>
      <c r="AB369" s="88"/>
      <c r="AC369" s="22"/>
      <c r="AD369" s="22"/>
      <c r="AE369" s="88"/>
    </row>
    <row r="370" spans="1:31" ht="39" hidden="1">
      <c r="A370" s="23"/>
      <c r="B370" s="96"/>
      <c r="C370" s="111" t="s">
        <v>637</v>
      </c>
      <c r="D370" s="102" t="s">
        <v>638</v>
      </c>
      <c r="E370" s="103">
        <v>0.78</v>
      </c>
      <c r="F370" s="51">
        <v>16832212605</v>
      </c>
      <c r="G370" s="105"/>
      <c r="H370" s="105"/>
      <c r="I370" s="103">
        <v>0.76</v>
      </c>
      <c r="J370" s="112"/>
      <c r="K370" s="103">
        <v>0.8</v>
      </c>
      <c r="L370" s="51"/>
      <c r="M370" s="103">
        <v>0.99</v>
      </c>
      <c r="N370" s="51"/>
      <c r="O370" s="86"/>
      <c r="P370" s="86"/>
      <c r="Q370" s="107"/>
      <c r="R370" s="51"/>
      <c r="S370" s="87"/>
      <c r="T370" s="18"/>
      <c r="U370" s="16">
        <f>S370/I370</f>
        <v>0</v>
      </c>
      <c r="V370" s="27"/>
      <c r="W370" s="9"/>
      <c r="X370" s="11"/>
      <c r="Y370" s="11"/>
      <c r="Z370" s="11"/>
      <c r="AA370" s="20"/>
      <c r="AB370" s="69">
        <f>SUM(J372:J393)</f>
        <v>18517621400</v>
      </c>
      <c r="AC370" s="69">
        <f>SUM(T372:T393)</f>
        <v>9179254381</v>
      </c>
      <c r="AD370" s="22"/>
      <c r="AE370" s="88"/>
    </row>
    <row r="371" spans="1:31" ht="91" hidden="1">
      <c r="A371" s="56"/>
      <c r="B371" s="48"/>
      <c r="C371" s="97" t="s">
        <v>639</v>
      </c>
      <c r="D371" s="66" t="s">
        <v>640</v>
      </c>
      <c r="E371" s="25">
        <v>1</v>
      </c>
      <c r="F371" s="59"/>
      <c r="G371" s="59"/>
      <c r="H371" s="59"/>
      <c r="I371" s="25">
        <v>1</v>
      </c>
      <c r="J371" s="51"/>
      <c r="K371" s="107">
        <v>1</v>
      </c>
      <c r="L371" s="75"/>
      <c r="M371" s="107">
        <v>1</v>
      </c>
      <c r="N371" s="64"/>
      <c r="O371" s="86"/>
      <c r="P371" s="86"/>
      <c r="Q371" s="107"/>
      <c r="R371" s="80"/>
      <c r="S371" s="87"/>
      <c r="T371" s="18"/>
      <c r="U371" s="27"/>
      <c r="V371" s="27"/>
      <c r="W371" s="11"/>
      <c r="X371" s="11"/>
      <c r="Y371" s="11"/>
      <c r="Z371" s="11"/>
      <c r="AA371" s="20"/>
      <c r="AB371" s="88"/>
      <c r="AC371" s="22"/>
      <c r="AD371" s="45">
        <f>J372</f>
        <v>576506500</v>
      </c>
      <c r="AE371" s="70">
        <f>T372</f>
        <v>519571615</v>
      </c>
    </row>
    <row r="372" spans="1:31" ht="50" hidden="1">
      <c r="A372" s="23"/>
      <c r="B372" s="96"/>
      <c r="C372" s="60" t="s">
        <v>641</v>
      </c>
      <c r="D372" s="59" t="s">
        <v>642</v>
      </c>
      <c r="E372" s="20" t="s">
        <v>412</v>
      </c>
      <c r="F372" s="51">
        <v>1000000000</v>
      </c>
      <c r="G372" s="113"/>
      <c r="H372" s="97"/>
      <c r="I372" s="20" t="s">
        <v>437</v>
      </c>
      <c r="J372" s="51">
        <v>576506500</v>
      </c>
      <c r="K372" s="20">
        <v>0</v>
      </c>
      <c r="L372" s="41">
        <v>0</v>
      </c>
      <c r="M372" s="20">
        <v>0</v>
      </c>
      <c r="N372" s="51">
        <f>500000000-L372</f>
        <v>500000000</v>
      </c>
      <c r="O372" s="86"/>
      <c r="P372" s="86">
        <f>519571615-L372-N372</f>
        <v>19571615</v>
      </c>
      <c r="Q372" s="20"/>
      <c r="R372" s="51"/>
      <c r="S372" s="87">
        <f t="shared" ref="S372:T372" si="331">K372+M372+O372+Q372</f>
        <v>0</v>
      </c>
      <c r="T372" s="18">
        <f t="shared" si="331"/>
        <v>519571615</v>
      </c>
      <c r="U372" s="27">
        <f>S372/1</f>
        <v>0</v>
      </c>
      <c r="V372" s="27">
        <f>T372/J372</f>
        <v>0.90124155581940535</v>
      </c>
      <c r="W372" s="11"/>
      <c r="X372" s="11"/>
      <c r="Y372" s="11"/>
      <c r="Z372" s="11"/>
      <c r="AA372" s="20" t="s">
        <v>56</v>
      </c>
      <c r="AB372" s="88"/>
      <c r="AC372" s="22"/>
      <c r="AD372" s="22"/>
      <c r="AE372" s="88"/>
    </row>
    <row r="373" spans="1:31" ht="52" hidden="1">
      <c r="A373" s="23"/>
      <c r="B373" s="96"/>
      <c r="C373" s="97" t="s">
        <v>643</v>
      </c>
      <c r="D373" s="66" t="s">
        <v>644</v>
      </c>
      <c r="E373" s="25">
        <v>1</v>
      </c>
      <c r="F373" s="66"/>
      <c r="G373" s="25"/>
      <c r="H373" s="66"/>
      <c r="I373" s="25">
        <v>1</v>
      </c>
      <c r="J373" s="51"/>
      <c r="K373" s="25">
        <v>1</v>
      </c>
      <c r="L373" s="41"/>
      <c r="M373" s="25">
        <v>1</v>
      </c>
      <c r="N373" s="51"/>
      <c r="O373" s="86"/>
      <c r="P373" s="86"/>
      <c r="Q373" s="20"/>
      <c r="R373" s="51"/>
      <c r="S373" s="87"/>
      <c r="T373" s="18"/>
      <c r="U373" s="27"/>
      <c r="V373" s="27"/>
      <c r="W373" s="11"/>
      <c r="X373" s="11"/>
      <c r="Y373" s="11"/>
      <c r="Z373" s="11"/>
      <c r="AA373" s="20"/>
      <c r="AB373" s="88"/>
      <c r="AC373" s="22"/>
      <c r="AD373" s="93">
        <f>SUM(J374:J375)</f>
        <v>684218000</v>
      </c>
      <c r="AE373" s="70">
        <f>SUM(T374:T375)</f>
        <v>549880000</v>
      </c>
    </row>
    <row r="374" spans="1:31" ht="50" hidden="1">
      <c r="A374" s="23"/>
      <c r="B374" s="96"/>
      <c r="C374" s="60" t="s">
        <v>645</v>
      </c>
      <c r="D374" s="59" t="s">
        <v>646</v>
      </c>
      <c r="E374" s="109" t="s">
        <v>412</v>
      </c>
      <c r="F374" s="51">
        <v>683770853</v>
      </c>
      <c r="G374" s="25"/>
      <c r="H374" s="66"/>
      <c r="I374" s="109" t="s">
        <v>413</v>
      </c>
      <c r="J374" s="51">
        <v>151794000</v>
      </c>
      <c r="K374" s="20">
        <v>0</v>
      </c>
      <c r="L374" s="41">
        <v>6200000</v>
      </c>
      <c r="M374" s="20">
        <v>0</v>
      </c>
      <c r="N374" s="51">
        <f>8000000-L374</f>
        <v>1800000</v>
      </c>
      <c r="O374" s="86"/>
      <c r="P374" s="86">
        <f>32556000-L374-N374</f>
        <v>24556000</v>
      </c>
      <c r="Q374" s="20"/>
      <c r="R374" s="51"/>
      <c r="S374" s="87">
        <f t="shared" ref="S374:T374" si="332">K374+M374+O374+Q374</f>
        <v>0</v>
      </c>
      <c r="T374" s="18">
        <f t="shared" si="332"/>
        <v>32556000</v>
      </c>
      <c r="U374" s="27">
        <v>0</v>
      </c>
      <c r="V374" s="27">
        <f t="shared" ref="V374:V375" si="333">T374/J374</f>
        <v>0.21447488043005652</v>
      </c>
      <c r="W374" s="11"/>
      <c r="X374" s="11"/>
      <c r="Y374" s="11"/>
      <c r="Z374" s="11"/>
      <c r="AA374" s="20" t="s">
        <v>56</v>
      </c>
      <c r="AB374" s="88"/>
      <c r="AC374" s="22"/>
      <c r="AD374" s="22"/>
      <c r="AE374" s="88"/>
    </row>
    <row r="375" spans="1:31" ht="100" hidden="1">
      <c r="A375" s="23"/>
      <c r="B375" s="114"/>
      <c r="C375" s="60" t="s">
        <v>647</v>
      </c>
      <c r="D375" s="59" t="s">
        <v>648</v>
      </c>
      <c r="E375" s="20" t="s">
        <v>649</v>
      </c>
      <c r="F375" s="51">
        <v>282841753</v>
      </c>
      <c r="G375" s="10"/>
      <c r="H375" s="66"/>
      <c r="I375" s="20" t="s">
        <v>650</v>
      </c>
      <c r="J375" s="51">
        <v>532424000</v>
      </c>
      <c r="K375" s="20">
        <v>5944</v>
      </c>
      <c r="L375" s="41">
        <v>10800000</v>
      </c>
      <c r="M375" s="20">
        <f>8071-K375</f>
        <v>2127</v>
      </c>
      <c r="N375" s="51">
        <f>84820000-L375</f>
        <v>74020000</v>
      </c>
      <c r="O375" s="86"/>
      <c r="P375" s="86">
        <f>517324000-L375-N375</f>
        <v>432504000</v>
      </c>
      <c r="Q375" s="20"/>
      <c r="R375" s="80"/>
      <c r="S375" s="87">
        <f t="shared" ref="S375:T375" si="334">K375+M375+O375+Q375</f>
        <v>8071</v>
      </c>
      <c r="T375" s="18">
        <f t="shared" si="334"/>
        <v>517324000</v>
      </c>
      <c r="U375" s="27">
        <f>S375/44417</f>
        <v>0.18170970574329648</v>
      </c>
      <c r="V375" s="27">
        <f t="shared" si="333"/>
        <v>0.9716391447417847</v>
      </c>
      <c r="W375" s="11"/>
      <c r="X375" s="11"/>
      <c r="Y375" s="11"/>
      <c r="Z375" s="11"/>
      <c r="AA375" s="20" t="s">
        <v>56</v>
      </c>
      <c r="AB375" s="88"/>
      <c r="AC375" s="22"/>
      <c r="AD375" s="22"/>
      <c r="AE375" s="88"/>
    </row>
    <row r="376" spans="1:31" ht="78" hidden="1">
      <c r="A376" s="23"/>
      <c r="B376" s="96"/>
      <c r="C376" s="97" t="s">
        <v>651</v>
      </c>
      <c r="D376" s="66" t="s">
        <v>652</v>
      </c>
      <c r="E376" s="25">
        <v>0.78</v>
      </c>
      <c r="F376" s="66"/>
      <c r="G376" s="25"/>
      <c r="H376" s="66"/>
      <c r="I376" s="25">
        <v>0.76539999999999997</v>
      </c>
      <c r="J376" s="51"/>
      <c r="K376" s="19">
        <v>0.93089999999999995</v>
      </c>
      <c r="L376" s="108"/>
      <c r="M376" s="19">
        <v>0.93089999999999995</v>
      </c>
      <c r="N376" s="108"/>
      <c r="O376" s="86"/>
      <c r="P376" s="86"/>
      <c r="Q376" s="108"/>
      <c r="R376" s="108"/>
      <c r="S376" s="87"/>
      <c r="T376" s="18"/>
      <c r="U376" s="27"/>
      <c r="V376" s="27"/>
      <c r="W376" s="11"/>
      <c r="X376" s="11"/>
      <c r="Y376" s="11"/>
      <c r="Z376" s="11"/>
      <c r="AA376" s="20"/>
      <c r="AB376" s="88"/>
      <c r="AC376" s="22"/>
      <c r="AD376" s="93">
        <f>SUM(J377:J393)</f>
        <v>17256896900</v>
      </c>
      <c r="AE376" s="70">
        <f>SUM(T377:T393)</f>
        <v>8109802766</v>
      </c>
    </row>
    <row r="377" spans="1:31" ht="75" hidden="1">
      <c r="A377" s="23"/>
      <c r="B377" s="96"/>
      <c r="C377" s="60" t="s">
        <v>653</v>
      </c>
      <c r="D377" s="59" t="s">
        <v>654</v>
      </c>
      <c r="E377" s="109" t="s">
        <v>412</v>
      </c>
      <c r="F377" s="51">
        <v>14865600000</v>
      </c>
      <c r="G377" s="25"/>
      <c r="H377" s="66"/>
      <c r="I377" s="109" t="s">
        <v>437</v>
      </c>
      <c r="J377" s="51">
        <v>15660180000</v>
      </c>
      <c r="K377" s="61">
        <v>0</v>
      </c>
      <c r="L377" s="51">
        <v>3704200000</v>
      </c>
      <c r="M377" s="61">
        <v>0</v>
      </c>
      <c r="N377" s="51">
        <f>3873613120-L377</f>
        <v>169413120</v>
      </c>
      <c r="O377" s="86"/>
      <c r="P377" s="86">
        <f>7804156360-L377-N377</f>
        <v>3930543240</v>
      </c>
      <c r="Q377" s="108"/>
      <c r="R377" s="108"/>
      <c r="S377" s="87">
        <f t="shared" ref="S377:T377" si="335">K377+M377+O377+Q377</f>
        <v>0</v>
      </c>
      <c r="T377" s="18">
        <f t="shared" si="335"/>
        <v>7804156360</v>
      </c>
      <c r="U377" s="27">
        <f t="shared" ref="U377:U378" si="336">S377/1</f>
        <v>0</v>
      </c>
      <c r="V377" s="27">
        <f t="shared" ref="V377:V393" si="337">T377/J377</f>
        <v>0.49834397561202998</v>
      </c>
      <c r="W377" s="11"/>
      <c r="X377" s="11"/>
      <c r="Y377" s="11"/>
      <c r="Z377" s="11"/>
      <c r="AA377" s="20" t="s">
        <v>56</v>
      </c>
      <c r="AB377" s="88"/>
      <c r="AC377" s="22"/>
      <c r="AD377" s="93"/>
      <c r="AE377" s="70"/>
    </row>
    <row r="378" spans="1:31" ht="75" hidden="1">
      <c r="A378" s="23"/>
      <c r="B378" s="96"/>
      <c r="C378" s="60" t="s">
        <v>655</v>
      </c>
      <c r="D378" s="59" t="s">
        <v>654</v>
      </c>
      <c r="E378" s="109"/>
      <c r="F378" s="66"/>
      <c r="G378" s="25"/>
      <c r="H378" s="66"/>
      <c r="I378" s="109" t="s">
        <v>437</v>
      </c>
      <c r="J378" s="51">
        <v>34160000</v>
      </c>
      <c r="K378" s="61">
        <v>0</v>
      </c>
      <c r="L378" s="51">
        <v>0</v>
      </c>
      <c r="M378" s="61">
        <v>0</v>
      </c>
      <c r="N378" s="51">
        <v>0</v>
      </c>
      <c r="O378" s="86"/>
      <c r="P378" s="86"/>
      <c r="Q378" s="108"/>
      <c r="R378" s="108"/>
      <c r="S378" s="87">
        <f t="shared" ref="S378:T378" si="338">K378+M378+O378+Q378</f>
        <v>0</v>
      </c>
      <c r="T378" s="18">
        <f t="shared" si="338"/>
        <v>0</v>
      </c>
      <c r="U378" s="27">
        <f t="shared" si="336"/>
        <v>0</v>
      </c>
      <c r="V378" s="27">
        <f t="shared" si="337"/>
        <v>0</v>
      </c>
      <c r="W378" s="11"/>
      <c r="X378" s="11"/>
      <c r="Y378" s="11"/>
      <c r="Z378" s="11"/>
      <c r="AA378" s="20" t="s">
        <v>112</v>
      </c>
      <c r="AB378" s="88"/>
      <c r="AC378" s="22"/>
      <c r="AD378" s="22"/>
      <c r="AE378" s="88"/>
    </row>
    <row r="379" spans="1:31" ht="75" hidden="1">
      <c r="A379" s="23"/>
      <c r="B379" s="96"/>
      <c r="C379" s="60" t="s">
        <v>656</v>
      </c>
      <c r="D379" s="59" t="s">
        <v>654</v>
      </c>
      <c r="E379" s="109"/>
      <c r="F379" s="66"/>
      <c r="G379" s="25"/>
      <c r="H379" s="66"/>
      <c r="I379" s="109" t="s">
        <v>312</v>
      </c>
      <c r="J379" s="51">
        <v>129731000</v>
      </c>
      <c r="K379" s="61">
        <v>3</v>
      </c>
      <c r="L379" s="51">
        <v>0</v>
      </c>
      <c r="M379" s="61">
        <v>2</v>
      </c>
      <c r="N379" s="51">
        <v>16052000</v>
      </c>
      <c r="O379" s="86"/>
      <c r="P379" s="86"/>
      <c r="Q379" s="108"/>
      <c r="R379" s="108"/>
      <c r="S379" s="87">
        <f t="shared" ref="S379:T379" si="339">K379+M379+O379+Q379</f>
        <v>5</v>
      </c>
      <c r="T379" s="18">
        <f t="shared" si="339"/>
        <v>16052000</v>
      </c>
      <c r="U379" s="27">
        <f t="shared" ref="U379:U381" si="340">S379/12</f>
        <v>0.41666666666666669</v>
      </c>
      <c r="V379" s="27">
        <f t="shared" si="337"/>
        <v>0.1237329551148145</v>
      </c>
      <c r="W379" s="11"/>
      <c r="X379" s="11"/>
      <c r="Y379" s="11"/>
      <c r="Z379" s="11"/>
      <c r="AA379" s="20" t="s">
        <v>115</v>
      </c>
      <c r="AB379" s="88"/>
      <c r="AC379" s="22"/>
      <c r="AD379" s="22"/>
      <c r="AE379" s="88"/>
    </row>
    <row r="380" spans="1:31" ht="75" hidden="1">
      <c r="A380" s="23"/>
      <c r="B380" s="96"/>
      <c r="C380" s="60" t="s">
        <v>657</v>
      </c>
      <c r="D380" s="59" t="s">
        <v>654</v>
      </c>
      <c r="E380" s="109"/>
      <c r="F380" s="66"/>
      <c r="G380" s="25"/>
      <c r="H380" s="66"/>
      <c r="I380" s="109" t="s">
        <v>312</v>
      </c>
      <c r="J380" s="51">
        <v>369353000</v>
      </c>
      <c r="K380" s="61">
        <v>3</v>
      </c>
      <c r="L380" s="51">
        <v>0</v>
      </c>
      <c r="M380" s="61">
        <v>2</v>
      </c>
      <c r="N380" s="51">
        <v>112304388</v>
      </c>
      <c r="O380" s="86"/>
      <c r="P380" s="86"/>
      <c r="Q380" s="108"/>
      <c r="R380" s="108"/>
      <c r="S380" s="87">
        <f t="shared" ref="S380:T380" si="341">K380+M380+O380+Q380</f>
        <v>5</v>
      </c>
      <c r="T380" s="18">
        <f t="shared" si="341"/>
        <v>112304388</v>
      </c>
      <c r="U380" s="27">
        <f t="shared" si="340"/>
        <v>0.41666666666666669</v>
      </c>
      <c r="V380" s="27">
        <f t="shared" si="337"/>
        <v>0.30405706194345244</v>
      </c>
      <c r="W380" s="11"/>
      <c r="X380" s="11"/>
      <c r="Y380" s="11"/>
      <c r="Z380" s="11"/>
      <c r="AA380" s="20" t="s">
        <v>118</v>
      </c>
      <c r="AB380" s="88"/>
      <c r="AC380" s="22"/>
      <c r="AD380" s="22"/>
      <c r="AE380" s="88"/>
    </row>
    <row r="381" spans="1:31" ht="75" hidden="1">
      <c r="A381" s="23"/>
      <c r="B381" s="96"/>
      <c r="C381" s="60" t="s">
        <v>658</v>
      </c>
      <c r="D381" s="59" t="s">
        <v>654</v>
      </c>
      <c r="E381" s="109"/>
      <c r="F381" s="66"/>
      <c r="G381" s="25"/>
      <c r="H381" s="66"/>
      <c r="I381" s="109" t="s">
        <v>312</v>
      </c>
      <c r="J381" s="51">
        <v>92140500</v>
      </c>
      <c r="K381" s="61">
        <v>3</v>
      </c>
      <c r="L381" s="51">
        <v>0</v>
      </c>
      <c r="M381" s="61">
        <v>2</v>
      </c>
      <c r="N381" s="51">
        <v>0</v>
      </c>
      <c r="O381" s="86"/>
      <c r="P381" s="86"/>
      <c r="Q381" s="108"/>
      <c r="R381" s="108"/>
      <c r="S381" s="87">
        <f t="shared" ref="S381:T381" si="342">K381+M381+O381+Q381</f>
        <v>5</v>
      </c>
      <c r="T381" s="18">
        <f t="shared" si="342"/>
        <v>0</v>
      </c>
      <c r="U381" s="27">
        <f t="shared" si="340"/>
        <v>0.41666666666666669</v>
      </c>
      <c r="V381" s="27">
        <f t="shared" si="337"/>
        <v>0</v>
      </c>
      <c r="W381" s="11"/>
      <c r="X381" s="11"/>
      <c r="Y381" s="11"/>
      <c r="Z381" s="11"/>
      <c r="AA381" s="20" t="s">
        <v>121</v>
      </c>
      <c r="AB381" s="88"/>
      <c r="AC381" s="22"/>
      <c r="AD381" s="22"/>
      <c r="AE381" s="88"/>
    </row>
    <row r="382" spans="1:31" ht="75" hidden="1">
      <c r="A382" s="23"/>
      <c r="B382" s="96"/>
      <c r="C382" s="60" t="s">
        <v>659</v>
      </c>
      <c r="D382" s="59" t="s">
        <v>654</v>
      </c>
      <c r="E382" s="109"/>
      <c r="F382" s="66"/>
      <c r="G382" s="25"/>
      <c r="H382" s="66"/>
      <c r="I382" s="109" t="s">
        <v>413</v>
      </c>
      <c r="J382" s="51">
        <v>15796000</v>
      </c>
      <c r="K382" s="61">
        <v>0</v>
      </c>
      <c r="L382" s="51">
        <v>0</v>
      </c>
      <c r="M382" s="61">
        <v>1</v>
      </c>
      <c r="N382" s="51">
        <v>2183150</v>
      </c>
      <c r="O382" s="86"/>
      <c r="P382" s="86"/>
      <c r="Q382" s="108"/>
      <c r="R382" s="108"/>
      <c r="S382" s="87">
        <f t="shared" ref="S382:T382" si="343">K382+M382+O382+Q382</f>
        <v>1</v>
      </c>
      <c r="T382" s="18">
        <f t="shared" si="343"/>
        <v>2183150</v>
      </c>
      <c r="U382" s="27">
        <f>S382/1</f>
        <v>1</v>
      </c>
      <c r="V382" s="27">
        <f t="shared" si="337"/>
        <v>0.13820904026335781</v>
      </c>
      <c r="W382" s="11"/>
      <c r="X382" s="11"/>
      <c r="Y382" s="11"/>
      <c r="Z382" s="11"/>
      <c r="AA382" s="20" t="s">
        <v>124</v>
      </c>
      <c r="AB382" s="88"/>
      <c r="AC382" s="22"/>
      <c r="AD382" s="22"/>
      <c r="AE382" s="88"/>
    </row>
    <row r="383" spans="1:31" ht="87.5" hidden="1">
      <c r="A383" s="23"/>
      <c r="B383" s="96"/>
      <c r="C383" s="60" t="s">
        <v>660</v>
      </c>
      <c r="D383" s="59" t="s">
        <v>654</v>
      </c>
      <c r="E383" s="109"/>
      <c r="F383" s="66"/>
      <c r="G383" s="25"/>
      <c r="H383" s="66"/>
      <c r="I383" s="109" t="s">
        <v>337</v>
      </c>
      <c r="J383" s="51">
        <v>41795000</v>
      </c>
      <c r="K383" s="61">
        <v>2</v>
      </c>
      <c r="L383" s="51">
        <v>0</v>
      </c>
      <c r="M383" s="61">
        <v>1</v>
      </c>
      <c r="N383" s="51">
        <v>15265000</v>
      </c>
      <c r="O383" s="86"/>
      <c r="P383" s="86"/>
      <c r="Q383" s="108"/>
      <c r="R383" s="108"/>
      <c r="S383" s="87">
        <f t="shared" ref="S383:T383" si="344">K383+M383+O383+Q383</f>
        <v>3</v>
      </c>
      <c r="T383" s="18">
        <f t="shared" si="344"/>
        <v>15265000</v>
      </c>
      <c r="U383" s="27">
        <f>S383/4</f>
        <v>0.75</v>
      </c>
      <c r="V383" s="27">
        <f t="shared" si="337"/>
        <v>0.36523507596602467</v>
      </c>
      <c r="W383" s="11"/>
      <c r="X383" s="11"/>
      <c r="Y383" s="11"/>
      <c r="Z383" s="11"/>
      <c r="AA383" s="20" t="s">
        <v>127</v>
      </c>
      <c r="AB383" s="88"/>
      <c r="AC383" s="22"/>
      <c r="AD383" s="22"/>
      <c r="AE383" s="88"/>
    </row>
    <row r="384" spans="1:31" ht="75">
      <c r="A384" s="23"/>
      <c r="B384" s="96"/>
      <c r="C384" s="60" t="s">
        <v>661</v>
      </c>
      <c r="D384" s="59" t="s">
        <v>654</v>
      </c>
      <c r="E384" s="109"/>
      <c r="F384" s="66"/>
      <c r="G384" s="25"/>
      <c r="H384" s="66"/>
      <c r="I384" s="109" t="s">
        <v>312</v>
      </c>
      <c r="J384" s="51">
        <v>74750400</v>
      </c>
      <c r="K384" s="115" t="s">
        <v>662</v>
      </c>
      <c r="L384" s="51">
        <v>0</v>
      </c>
      <c r="M384" s="61">
        <v>3</v>
      </c>
      <c r="N384" s="51">
        <v>20100000</v>
      </c>
      <c r="O384" s="86">
        <v>3</v>
      </c>
      <c r="P384" s="86">
        <v>9666500</v>
      </c>
      <c r="Q384" s="108">
        <v>3</v>
      </c>
      <c r="R384" s="108">
        <v>38453500</v>
      </c>
      <c r="S384" s="87">
        <f t="shared" ref="S384:T384" si="345">K384+M384+O384+Q384</f>
        <v>12</v>
      </c>
      <c r="T384" s="18">
        <f t="shared" si="345"/>
        <v>68220000</v>
      </c>
      <c r="U384" s="27">
        <f t="shared" ref="U384:U387" si="346">S384/12</f>
        <v>1</v>
      </c>
      <c r="V384" s="27">
        <f t="shared" si="337"/>
        <v>0.91263725679059915</v>
      </c>
      <c r="W384" s="11"/>
      <c r="X384" s="11"/>
      <c r="Y384" s="11"/>
      <c r="Z384" s="11"/>
      <c r="AA384" s="20" t="s">
        <v>130</v>
      </c>
      <c r="AB384" s="88"/>
      <c r="AC384" s="22"/>
      <c r="AD384" s="22"/>
      <c r="AE384" s="88"/>
    </row>
    <row r="385" spans="1:31" ht="87.5" hidden="1">
      <c r="A385" s="23"/>
      <c r="B385" s="96"/>
      <c r="C385" s="60" t="s">
        <v>663</v>
      </c>
      <c r="D385" s="59" t="s">
        <v>654</v>
      </c>
      <c r="E385" s="109"/>
      <c r="F385" s="66"/>
      <c r="G385" s="25"/>
      <c r="H385" s="66"/>
      <c r="I385" s="109" t="s">
        <v>312</v>
      </c>
      <c r="J385" s="51">
        <v>90880000</v>
      </c>
      <c r="K385" s="61">
        <v>3</v>
      </c>
      <c r="L385" s="51">
        <v>0</v>
      </c>
      <c r="M385" s="61">
        <v>2</v>
      </c>
      <c r="N385" s="51">
        <v>0</v>
      </c>
      <c r="O385" s="86"/>
      <c r="P385" s="86"/>
      <c r="Q385" s="108"/>
      <c r="R385" s="108"/>
      <c r="S385" s="87">
        <f t="shared" ref="S385:T385" si="347">K385+M385+O385+Q385</f>
        <v>5</v>
      </c>
      <c r="T385" s="18">
        <f t="shared" si="347"/>
        <v>0</v>
      </c>
      <c r="U385" s="27">
        <f t="shared" si="346"/>
        <v>0.41666666666666669</v>
      </c>
      <c r="V385" s="27">
        <f t="shared" si="337"/>
        <v>0</v>
      </c>
      <c r="W385" s="11"/>
      <c r="X385" s="11"/>
      <c r="Y385" s="11"/>
      <c r="Z385" s="11"/>
      <c r="AA385" s="20" t="s">
        <v>133</v>
      </c>
      <c r="AB385" s="88"/>
      <c r="AC385" s="22"/>
      <c r="AD385" s="22"/>
      <c r="AE385" s="88"/>
    </row>
    <row r="386" spans="1:31" ht="75" hidden="1">
      <c r="A386" s="23"/>
      <c r="B386" s="96"/>
      <c r="C386" s="60" t="s">
        <v>664</v>
      </c>
      <c r="D386" s="59" t="s">
        <v>654</v>
      </c>
      <c r="E386" s="109"/>
      <c r="F386" s="66"/>
      <c r="G386" s="25"/>
      <c r="H386" s="66"/>
      <c r="I386" s="109" t="s">
        <v>312</v>
      </c>
      <c r="J386" s="51">
        <v>156256000</v>
      </c>
      <c r="K386" s="61">
        <v>3</v>
      </c>
      <c r="L386" s="51">
        <v>0</v>
      </c>
      <c r="M386" s="61">
        <v>2</v>
      </c>
      <c r="N386" s="51">
        <v>11390000</v>
      </c>
      <c r="O386" s="86"/>
      <c r="P386" s="86"/>
      <c r="Q386" s="108"/>
      <c r="R386" s="108"/>
      <c r="S386" s="87">
        <f t="shared" ref="S386:T386" si="348">K386+M386+O386+Q386</f>
        <v>5</v>
      </c>
      <c r="T386" s="18">
        <f t="shared" si="348"/>
        <v>11390000</v>
      </c>
      <c r="U386" s="27">
        <f t="shared" si="346"/>
        <v>0.41666666666666669</v>
      </c>
      <c r="V386" s="27">
        <f t="shared" si="337"/>
        <v>7.2893200901085392E-2</v>
      </c>
      <c r="W386" s="11"/>
      <c r="X386" s="11"/>
      <c r="Y386" s="11"/>
      <c r="Z386" s="11"/>
      <c r="AA386" s="20" t="s">
        <v>136</v>
      </c>
      <c r="AB386" s="88"/>
      <c r="AC386" s="22"/>
      <c r="AD386" s="22"/>
      <c r="AE386" s="88"/>
    </row>
    <row r="387" spans="1:31" ht="75" hidden="1">
      <c r="A387" s="23"/>
      <c r="B387" s="96"/>
      <c r="C387" s="60" t="s">
        <v>665</v>
      </c>
      <c r="D387" s="59" t="s">
        <v>654</v>
      </c>
      <c r="E387" s="109"/>
      <c r="F387" s="66"/>
      <c r="G387" s="25"/>
      <c r="H387" s="66"/>
      <c r="I387" s="109" t="s">
        <v>312</v>
      </c>
      <c r="J387" s="51">
        <v>23201000</v>
      </c>
      <c r="K387" s="61">
        <v>3</v>
      </c>
      <c r="L387" s="51">
        <v>0</v>
      </c>
      <c r="M387" s="61">
        <v>2</v>
      </c>
      <c r="N387" s="51">
        <v>4832000</v>
      </c>
      <c r="O387" s="86"/>
      <c r="P387" s="86"/>
      <c r="Q387" s="108"/>
      <c r="R387" s="108"/>
      <c r="S387" s="87">
        <f t="shared" ref="S387:T387" si="349">K387+M387+O387+Q387</f>
        <v>5</v>
      </c>
      <c r="T387" s="18">
        <f t="shared" si="349"/>
        <v>4832000</v>
      </c>
      <c r="U387" s="27">
        <f t="shared" si="346"/>
        <v>0.41666666666666669</v>
      </c>
      <c r="V387" s="27">
        <f t="shared" si="337"/>
        <v>0.20826688504805826</v>
      </c>
      <c r="W387" s="11"/>
      <c r="X387" s="11"/>
      <c r="Y387" s="11"/>
      <c r="Z387" s="11"/>
      <c r="AA387" s="20" t="s">
        <v>139</v>
      </c>
      <c r="AB387" s="88"/>
      <c r="AC387" s="22"/>
      <c r="AD387" s="22"/>
      <c r="AE387" s="88"/>
    </row>
    <row r="388" spans="1:31" ht="75" hidden="1">
      <c r="A388" s="23"/>
      <c r="B388" s="96"/>
      <c r="C388" s="60" t="s">
        <v>666</v>
      </c>
      <c r="D388" s="59" t="s">
        <v>654</v>
      </c>
      <c r="E388" s="109"/>
      <c r="F388" s="66"/>
      <c r="G388" s="25"/>
      <c r="H388" s="66"/>
      <c r="I388" s="109" t="s">
        <v>667</v>
      </c>
      <c r="J388" s="51">
        <v>77504000</v>
      </c>
      <c r="K388" s="61">
        <v>0</v>
      </c>
      <c r="L388" s="51">
        <v>0</v>
      </c>
      <c r="M388" s="61">
        <v>0</v>
      </c>
      <c r="N388" s="51">
        <v>12559368</v>
      </c>
      <c r="O388" s="86"/>
      <c r="P388" s="86"/>
      <c r="Q388" s="108"/>
      <c r="R388" s="108"/>
      <c r="S388" s="87">
        <f t="shared" ref="S388:T388" si="350">K388+M388+O388+Q388</f>
        <v>0</v>
      </c>
      <c r="T388" s="18">
        <f t="shared" si="350"/>
        <v>12559368</v>
      </c>
      <c r="U388" s="27">
        <f>S388/7</f>
        <v>0</v>
      </c>
      <c r="V388" s="27">
        <f t="shared" si="337"/>
        <v>0.16204799752270851</v>
      </c>
      <c r="W388" s="11"/>
      <c r="X388" s="11"/>
      <c r="Y388" s="11"/>
      <c r="Z388" s="11"/>
      <c r="AA388" s="20" t="s">
        <v>142</v>
      </c>
      <c r="AB388" s="88"/>
      <c r="AC388" s="22"/>
      <c r="AD388" s="22"/>
      <c r="AE388" s="88"/>
    </row>
    <row r="389" spans="1:31" ht="75" hidden="1">
      <c r="A389" s="23"/>
      <c r="B389" s="96"/>
      <c r="C389" s="60" t="s">
        <v>668</v>
      </c>
      <c r="D389" s="59" t="s">
        <v>654</v>
      </c>
      <c r="E389" s="109"/>
      <c r="F389" s="66"/>
      <c r="G389" s="25"/>
      <c r="H389" s="66"/>
      <c r="I389" s="109" t="s">
        <v>312</v>
      </c>
      <c r="J389" s="51">
        <v>240218000</v>
      </c>
      <c r="K389" s="61">
        <v>3</v>
      </c>
      <c r="L389" s="51">
        <v>0</v>
      </c>
      <c r="M389" s="61">
        <v>0</v>
      </c>
      <c r="N389" s="51">
        <v>43695000</v>
      </c>
      <c r="O389" s="86"/>
      <c r="P389" s="86"/>
      <c r="Q389" s="108"/>
      <c r="R389" s="108"/>
      <c r="S389" s="87">
        <f t="shared" ref="S389:T389" si="351">K389+M389+O389+Q389</f>
        <v>3</v>
      </c>
      <c r="T389" s="18">
        <f t="shared" si="351"/>
        <v>43695000</v>
      </c>
      <c r="U389" s="27">
        <f>S389/12</f>
        <v>0.25</v>
      </c>
      <c r="V389" s="27">
        <f t="shared" si="337"/>
        <v>0.18189727664038499</v>
      </c>
      <c r="W389" s="11"/>
      <c r="X389" s="11"/>
      <c r="Y389" s="11"/>
      <c r="Z389" s="11"/>
      <c r="AA389" s="20" t="s">
        <v>145</v>
      </c>
      <c r="AB389" s="88"/>
      <c r="AC389" s="22"/>
      <c r="AD389" s="22"/>
      <c r="AE389" s="88"/>
    </row>
    <row r="390" spans="1:31" ht="75" hidden="1">
      <c r="A390" s="23"/>
      <c r="B390" s="96"/>
      <c r="C390" s="60" t="s">
        <v>669</v>
      </c>
      <c r="D390" s="59" t="s">
        <v>654</v>
      </c>
      <c r="E390" s="109"/>
      <c r="F390" s="66"/>
      <c r="G390" s="25"/>
      <c r="H390" s="66"/>
      <c r="I390" s="109" t="s">
        <v>670</v>
      </c>
      <c r="J390" s="51">
        <v>114937000</v>
      </c>
      <c r="K390" s="61">
        <v>0</v>
      </c>
      <c r="L390" s="51">
        <v>0</v>
      </c>
      <c r="M390" s="61">
        <v>1</v>
      </c>
      <c r="N390" s="51">
        <v>12266000</v>
      </c>
      <c r="O390" s="86"/>
      <c r="P390" s="86"/>
      <c r="Q390" s="108"/>
      <c r="R390" s="108"/>
      <c r="S390" s="87">
        <f t="shared" ref="S390:T390" si="352">K390+M390+O390+Q390</f>
        <v>1</v>
      </c>
      <c r="T390" s="18">
        <f t="shared" si="352"/>
        <v>12266000</v>
      </c>
      <c r="U390" s="27">
        <f>S390/3</f>
        <v>0.33333333333333331</v>
      </c>
      <c r="V390" s="27">
        <f t="shared" si="337"/>
        <v>0.10671933319992692</v>
      </c>
      <c r="W390" s="11"/>
      <c r="X390" s="11"/>
      <c r="Y390" s="11"/>
      <c r="Z390" s="11"/>
      <c r="AA390" s="20" t="s">
        <v>148</v>
      </c>
      <c r="AB390" s="88"/>
      <c r="AC390" s="22"/>
      <c r="AD390" s="22"/>
      <c r="AE390" s="88"/>
    </row>
    <row r="391" spans="1:31" ht="75" hidden="1">
      <c r="A391" s="56"/>
      <c r="B391" s="48"/>
      <c r="C391" s="60" t="s">
        <v>671</v>
      </c>
      <c r="D391" s="59" t="s">
        <v>654</v>
      </c>
      <c r="E391" s="109"/>
      <c r="F391" s="59"/>
      <c r="G391" s="25"/>
      <c r="H391" s="59"/>
      <c r="I391" s="109" t="s">
        <v>312</v>
      </c>
      <c r="J391" s="51">
        <v>28080000</v>
      </c>
      <c r="K391" s="61">
        <v>3</v>
      </c>
      <c r="L391" s="51">
        <v>0</v>
      </c>
      <c r="M391" s="61">
        <v>2</v>
      </c>
      <c r="N391" s="51">
        <v>0</v>
      </c>
      <c r="O391" s="86"/>
      <c r="P391" s="86"/>
      <c r="Q391" s="25"/>
      <c r="R391" s="80"/>
      <c r="S391" s="87">
        <f t="shared" ref="S391:T391" si="353">K391+M391+O391+Q391</f>
        <v>5</v>
      </c>
      <c r="T391" s="18">
        <f t="shared" si="353"/>
        <v>0</v>
      </c>
      <c r="U391" s="27">
        <f t="shared" ref="U391:U393" si="354">S391/12</f>
        <v>0.41666666666666669</v>
      </c>
      <c r="V391" s="27">
        <f t="shared" si="337"/>
        <v>0</v>
      </c>
      <c r="W391" s="11"/>
      <c r="X391" s="11"/>
      <c r="Y391" s="11"/>
      <c r="Z391" s="11"/>
      <c r="AA391" s="20" t="s">
        <v>151</v>
      </c>
      <c r="AB391" s="88"/>
      <c r="AC391" s="88"/>
      <c r="AD391" s="88"/>
      <c r="AE391" s="88"/>
    </row>
    <row r="392" spans="1:31" ht="75" hidden="1">
      <c r="A392" s="56"/>
      <c r="B392" s="48"/>
      <c r="C392" s="60" t="s">
        <v>672</v>
      </c>
      <c r="D392" s="59" t="s">
        <v>654</v>
      </c>
      <c r="E392" s="109"/>
      <c r="F392" s="59"/>
      <c r="G392" s="25"/>
      <c r="H392" s="59"/>
      <c r="I392" s="109" t="s">
        <v>312</v>
      </c>
      <c r="J392" s="51">
        <v>31800000</v>
      </c>
      <c r="K392" s="20">
        <v>3</v>
      </c>
      <c r="L392" s="41">
        <v>0</v>
      </c>
      <c r="M392" s="20">
        <v>2</v>
      </c>
      <c r="N392" s="64">
        <v>6879500</v>
      </c>
      <c r="O392" s="86"/>
      <c r="P392" s="86"/>
      <c r="Q392" s="20"/>
      <c r="R392" s="80"/>
      <c r="S392" s="87">
        <f t="shared" ref="S392:T392" si="355">K392+M392+O392+Q392</f>
        <v>5</v>
      </c>
      <c r="T392" s="18">
        <f t="shared" si="355"/>
        <v>6879500</v>
      </c>
      <c r="U392" s="27">
        <f t="shared" si="354"/>
        <v>0.41666666666666669</v>
      </c>
      <c r="V392" s="27">
        <f t="shared" si="337"/>
        <v>0.21633647798742139</v>
      </c>
      <c r="W392" s="11"/>
      <c r="X392" s="11"/>
      <c r="Y392" s="11"/>
      <c r="Z392" s="11"/>
      <c r="AA392" s="20" t="s">
        <v>154</v>
      </c>
      <c r="AB392" s="88"/>
      <c r="AC392" s="44"/>
      <c r="AD392" s="45"/>
      <c r="AE392" s="88"/>
    </row>
    <row r="393" spans="1:31" ht="75" hidden="1">
      <c r="A393" s="56"/>
      <c r="B393" s="48"/>
      <c r="C393" s="60" t="s">
        <v>673</v>
      </c>
      <c r="D393" s="59" t="s">
        <v>654</v>
      </c>
      <c r="E393" s="20"/>
      <c r="F393" s="59"/>
      <c r="G393" s="59"/>
      <c r="H393" s="59"/>
      <c r="I393" s="20" t="s">
        <v>312</v>
      </c>
      <c r="J393" s="51">
        <v>76115000</v>
      </c>
      <c r="K393" s="61">
        <v>3</v>
      </c>
      <c r="L393" s="41">
        <v>0</v>
      </c>
      <c r="M393" s="20">
        <v>2</v>
      </c>
      <c r="N393" s="64">
        <v>0</v>
      </c>
      <c r="O393" s="86"/>
      <c r="P393" s="86"/>
      <c r="Q393" s="20"/>
      <c r="R393" s="80"/>
      <c r="S393" s="87">
        <f t="shared" ref="S393:T393" si="356">K393+M393+O393+Q393</f>
        <v>5</v>
      </c>
      <c r="T393" s="18">
        <f t="shared" si="356"/>
        <v>0</v>
      </c>
      <c r="U393" s="27">
        <f t="shared" si="354"/>
        <v>0.41666666666666669</v>
      </c>
      <c r="V393" s="27">
        <f t="shared" si="337"/>
        <v>0</v>
      </c>
      <c r="W393" s="11"/>
      <c r="X393" s="11"/>
      <c r="Y393" s="11"/>
      <c r="Z393" s="11"/>
      <c r="AA393" s="20"/>
      <c r="AB393" s="88"/>
      <c r="AC393" s="22"/>
      <c r="AD393" s="22"/>
      <c r="AE393" s="88"/>
    </row>
    <row r="394" spans="1:31" ht="14.5" hidden="1">
      <c r="A394" s="56"/>
      <c r="B394" s="176" t="s">
        <v>600</v>
      </c>
      <c r="C394" s="166"/>
      <c r="D394" s="166"/>
      <c r="E394" s="166"/>
      <c r="F394" s="166"/>
      <c r="G394" s="166"/>
      <c r="H394" s="166"/>
      <c r="I394" s="166"/>
      <c r="J394" s="157"/>
      <c r="K394" s="61"/>
      <c r="L394" s="41"/>
      <c r="M394" s="20"/>
      <c r="N394" s="64"/>
      <c r="O394" s="86"/>
      <c r="P394" s="86"/>
      <c r="Q394" s="20"/>
      <c r="R394" s="80"/>
      <c r="S394" s="62"/>
      <c r="T394" s="18"/>
      <c r="U394" s="27">
        <f t="shared" ref="U394:V394" si="357">AVERAGE(U372:U393)</f>
        <v>0.36325215195383154</v>
      </c>
      <c r="V394" s="27">
        <f t="shared" si="357"/>
        <v>0.2688866058990555</v>
      </c>
      <c r="W394" s="11"/>
      <c r="X394" s="11"/>
      <c r="Y394" s="11"/>
      <c r="Z394" s="11"/>
      <c r="AA394" s="20"/>
      <c r="AB394" s="88"/>
      <c r="AC394" s="22"/>
      <c r="AD394" s="22"/>
      <c r="AE394" s="88"/>
    </row>
    <row r="395" spans="1:31" ht="14.5" hidden="1">
      <c r="A395" s="56"/>
      <c r="B395" s="176" t="s">
        <v>601</v>
      </c>
      <c r="C395" s="166"/>
      <c r="D395" s="166"/>
      <c r="E395" s="166"/>
      <c r="F395" s="166"/>
      <c r="G395" s="166"/>
      <c r="H395" s="166"/>
      <c r="I395" s="166"/>
      <c r="J395" s="157"/>
      <c r="K395" s="61"/>
      <c r="L395" s="75"/>
      <c r="M395" s="20"/>
      <c r="N395" s="64"/>
      <c r="O395" s="86"/>
      <c r="P395" s="86"/>
      <c r="Q395" s="20"/>
      <c r="R395" s="80"/>
      <c r="S395" s="62"/>
      <c r="T395" s="18"/>
      <c r="U395" s="27"/>
      <c r="V395" s="27"/>
      <c r="W395" s="11"/>
      <c r="X395" s="11"/>
      <c r="Y395" s="11"/>
      <c r="Z395" s="11"/>
      <c r="AA395" s="20"/>
      <c r="AB395" s="88"/>
      <c r="AC395" s="88"/>
      <c r="AD395" s="88"/>
      <c r="AE395" s="88"/>
    </row>
    <row r="396" spans="1:31" ht="26" hidden="1">
      <c r="A396" s="23">
        <v>2</v>
      </c>
      <c r="B396" s="96" t="s">
        <v>674</v>
      </c>
      <c r="C396" s="111"/>
      <c r="D396" s="102" t="s">
        <v>675</v>
      </c>
      <c r="E396" s="104"/>
      <c r="F396" s="105"/>
      <c r="G396" s="103"/>
      <c r="H396" s="105"/>
      <c r="I396" s="104">
        <v>86</v>
      </c>
      <c r="J396" s="112"/>
      <c r="K396" s="116" t="s">
        <v>676</v>
      </c>
      <c r="L396" s="77"/>
      <c r="M396" s="104"/>
      <c r="N396" s="77"/>
      <c r="O396" s="86"/>
      <c r="P396" s="86"/>
      <c r="Q396" s="104"/>
      <c r="R396" s="80"/>
      <c r="S396" s="62"/>
      <c r="T396" s="18"/>
      <c r="U396" s="16"/>
      <c r="V396" s="27"/>
      <c r="W396" s="11"/>
      <c r="X396" s="11"/>
      <c r="Y396" s="11"/>
      <c r="Z396" s="11"/>
      <c r="AA396" s="20"/>
      <c r="AB396" s="88"/>
      <c r="AC396" s="44"/>
      <c r="AD396" s="44"/>
      <c r="AE396" s="88"/>
    </row>
    <row r="397" spans="1:31" ht="52" hidden="1">
      <c r="A397" s="56"/>
      <c r="B397" s="48"/>
      <c r="C397" s="39" t="s">
        <v>677</v>
      </c>
      <c r="D397" s="66" t="s">
        <v>678</v>
      </c>
      <c r="E397" s="25"/>
      <c r="F397" s="59"/>
      <c r="G397" s="59"/>
      <c r="H397" s="59"/>
      <c r="I397" s="25">
        <v>1</v>
      </c>
      <c r="J397" s="51"/>
      <c r="K397" s="117">
        <v>0.25</v>
      </c>
      <c r="L397" s="79"/>
      <c r="M397" s="25">
        <v>0.16</v>
      </c>
      <c r="N397" s="64"/>
      <c r="O397" s="86"/>
      <c r="P397" s="86"/>
      <c r="Q397" s="25"/>
      <c r="R397" s="80"/>
      <c r="S397" s="62"/>
      <c r="T397" s="18"/>
      <c r="U397" s="35">
        <f t="shared" ref="U397:U400" si="358">S397/I397</f>
        <v>0</v>
      </c>
      <c r="V397" s="27"/>
      <c r="W397" s="11"/>
      <c r="X397" s="11"/>
      <c r="Y397" s="11"/>
      <c r="Z397" s="11"/>
      <c r="AA397" s="20"/>
      <c r="AB397" s="69">
        <f>SUM(J403:J447)</f>
        <v>202691799996</v>
      </c>
      <c r="AC397" s="69">
        <f>SUM(T403:T447)</f>
        <v>117229452436.14</v>
      </c>
      <c r="AD397" s="22"/>
      <c r="AE397" s="88"/>
    </row>
    <row r="398" spans="1:31" ht="39" hidden="1">
      <c r="A398" s="56"/>
      <c r="B398" s="48"/>
      <c r="C398" s="49"/>
      <c r="D398" s="66" t="s">
        <v>679</v>
      </c>
      <c r="E398" s="25"/>
      <c r="F398" s="59"/>
      <c r="G398" s="59"/>
      <c r="H398" s="59"/>
      <c r="I398" s="25">
        <v>0.73</v>
      </c>
      <c r="J398" s="51"/>
      <c r="K398" s="117">
        <v>0.25</v>
      </c>
      <c r="L398" s="118"/>
      <c r="M398" s="35">
        <v>0.4</v>
      </c>
      <c r="N398" s="64"/>
      <c r="O398" s="86"/>
      <c r="P398" s="86"/>
      <c r="Q398" s="25"/>
      <c r="R398" s="80"/>
      <c r="S398" s="62"/>
      <c r="T398" s="18"/>
      <c r="U398" s="35">
        <f t="shared" si="358"/>
        <v>0</v>
      </c>
      <c r="V398" s="27"/>
      <c r="W398" s="11"/>
      <c r="X398" s="11"/>
      <c r="Y398" s="11"/>
      <c r="Z398" s="11"/>
      <c r="AA398" s="20"/>
      <c r="AB398" s="88"/>
      <c r="AC398" s="22"/>
      <c r="AD398" s="22"/>
      <c r="AE398" s="88"/>
    </row>
    <row r="399" spans="1:31" ht="39" hidden="1">
      <c r="A399" s="56"/>
      <c r="B399" s="48"/>
      <c r="C399" s="49"/>
      <c r="D399" s="66" t="s">
        <v>680</v>
      </c>
      <c r="E399" s="25"/>
      <c r="F399" s="59"/>
      <c r="G399" s="59"/>
      <c r="H399" s="59"/>
      <c r="I399" s="25">
        <v>1</v>
      </c>
      <c r="J399" s="51"/>
      <c r="K399" s="117">
        <v>0.3</v>
      </c>
      <c r="L399" s="75"/>
      <c r="M399" s="35">
        <v>0.55000000000000004</v>
      </c>
      <c r="N399" s="64"/>
      <c r="O399" s="86"/>
      <c r="P399" s="86"/>
      <c r="Q399" s="10"/>
      <c r="R399" s="80"/>
      <c r="S399" s="62"/>
      <c r="T399" s="18"/>
      <c r="U399" s="35">
        <f t="shared" si="358"/>
        <v>0</v>
      </c>
      <c r="V399" s="27"/>
      <c r="W399" s="11"/>
      <c r="X399" s="11"/>
      <c r="Y399" s="11"/>
      <c r="Z399" s="11"/>
      <c r="AA399" s="20"/>
      <c r="AB399" s="88"/>
      <c r="AC399" s="88"/>
      <c r="AD399" s="88"/>
      <c r="AE399" s="88"/>
    </row>
    <row r="400" spans="1:31" ht="52" hidden="1">
      <c r="A400" s="56"/>
      <c r="B400" s="48"/>
      <c r="C400" s="49"/>
      <c r="D400" s="66" t="s">
        <v>681</v>
      </c>
      <c r="E400" s="25"/>
      <c r="F400" s="59"/>
      <c r="G400" s="25"/>
      <c r="H400" s="59"/>
      <c r="I400" s="25">
        <v>1</v>
      </c>
      <c r="J400" s="51"/>
      <c r="K400" s="117">
        <v>0.35</v>
      </c>
      <c r="L400" s="75"/>
      <c r="M400" s="35">
        <v>0.5</v>
      </c>
      <c r="N400" s="64"/>
      <c r="O400" s="86"/>
      <c r="P400" s="86"/>
      <c r="Q400" s="25"/>
      <c r="R400" s="80"/>
      <c r="S400" s="62"/>
      <c r="T400" s="18"/>
      <c r="U400" s="35">
        <f t="shared" si="358"/>
        <v>0</v>
      </c>
      <c r="V400" s="27"/>
      <c r="W400" s="11"/>
      <c r="X400" s="11"/>
      <c r="Y400" s="11"/>
      <c r="Z400" s="11"/>
      <c r="AA400" s="20"/>
      <c r="AB400" s="88"/>
      <c r="AC400" s="88"/>
      <c r="AD400" s="88"/>
      <c r="AE400" s="88"/>
    </row>
    <row r="401" spans="1:31" ht="26" hidden="1">
      <c r="A401" s="56"/>
      <c r="B401" s="48"/>
      <c r="C401" s="57"/>
      <c r="D401" s="66" t="s">
        <v>682</v>
      </c>
      <c r="E401" s="25">
        <v>1</v>
      </c>
      <c r="F401" s="59"/>
      <c r="G401" s="59"/>
      <c r="H401" s="59"/>
      <c r="I401" s="25">
        <v>1</v>
      </c>
      <c r="J401" s="51"/>
      <c r="K401" s="117">
        <v>1</v>
      </c>
      <c r="L401" s="75"/>
      <c r="M401" s="16">
        <v>1</v>
      </c>
      <c r="N401" s="64"/>
      <c r="O401" s="86"/>
      <c r="P401" s="86"/>
      <c r="Q401" s="16"/>
      <c r="R401" s="80"/>
      <c r="S401" s="62"/>
      <c r="T401" s="18"/>
      <c r="U401" s="16">
        <v>1</v>
      </c>
      <c r="V401" s="27"/>
      <c r="W401" s="11"/>
      <c r="X401" s="11"/>
      <c r="Y401" s="11"/>
      <c r="Z401" s="11"/>
      <c r="AA401" s="20"/>
      <c r="AB401" s="88"/>
      <c r="AC401" s="88"/>
      <c r="AD401" s="88"/>
      <c r="AE401" s="88"/>
    </row>
    <row r="402" spans="1:31" ht="78" hidden="1">
      <c r="A402" s="56"/>
      <c r="B402" s="48"/>
      <c r="C402" s="97" t="s">
        <v>683</v>
      </c>
      <c r="D402" s="66" t="s">
        <v>684</v>
      </c>
      <c r="E402" s="25"/>
      <c r="F402" s="59"/>
      <c r="G402" s="59"/>
      <c r="H402" s="59"/>
      <c r="I402" s="25">
        <v>1</v>
      </c>
      <c r="J402" s="51"/>
      <c r="K402" s="117">
        <v>0.25</v>
      </c>
      <c r="L402" s="79"/>
      <c r="M402" s="25">
        <v>0.16</v>
      </c>
      <c r="N402" s="64"/>
      <c r="O402" s="86"/>
      <c r="P402" s="86"/>
      <c r="Q402" s="25"/>
      <c r="R402" s="80"/>
      <c r="S402" s="62"/>
      <c r="T402" s="18"/>
      <c r="U402" s="16"/>
      <c r="V402" s="27"/>
      <c r="W402" s="11"/>
      <c r="X402" s="11"/>
      <c r="Y402" s="11"/>
      <c r="Z402" s="11"/>
      <c r="AA402" s="20"/>
      <c r="AB402" s="88"/>
      <c r="AC402" s="88"/>
      <c r="AD402" s="69">
        <f>J403</f>
        <v>0</v>
      </c>
      <c r="AE402" s="70">
        <f>T403</f>
        <v>0</v>
      </c>
    </row>
    <row r="403" spans="1:31" ht="37.5" hidden="1">
      <c r="A403" s="56"/>
      <c r="B403" s="48"/>
      <c r="C403" s="60" t="s">
        <v>685</v>
      </c>
      <c r="D403" s="59" t="s">
        <v>686</v>
      </c>
      <c r="E403" s="109"/>
      <c r="F403" s="59"/>
      <c r="G403" s="16"/>
      <c r="H403" s="59"/>
      <c r="I403" s="109"/>
      <c r="J403" s="79"/>
      <c r="K403" s="61"/>
      <c r="L403" s="79"/>
      <c r="M403" s="20"/>
      <c r="N403" s="79"/>
      <c r="O403" s="86"/>
      <c r="P403" s="86"/>
      <c r="Q403" s="20"/>
      <c r="R403" s="79"/>
      <c r="S403" s="62"/>
      <c r="T403" s="18"/>
      <c r="U403" s="27"/>
      <c r="V403" s="27"/>
      <c r="W403" s="11"/>
      <c r="X403" s="11"/>
      <c r="Y403" s="11"/>
      <c r="Z403" s="11"/>
      <c r="AA403" s="20" t="s">
        <v>56</v>
      </c>
      <c r="AB403" s="88"/>
      <c r="AC403" s="44"/>
      <c r="AD403" s="45"/>
      <c r="AE403" s="88"/>
    </row>
    <row r="404" spans="1:31" ht="39" hidden="1">
      <c r="A404" s="56"/>
      <c r="B404" s="48"/>
      <c r="C404" s="97" t="s">
        <v>687</v>
      </c>
      <c r="D404" s="66" t="s">
        <v>688</v>
      </c>
      <c r="E404" s="25"/>
      <c r="F404" s="59"/>
      <c r="G404" s="59"/>
      <c r="H404" s="59"/>
      <c r="I404" s="25">
        <v>1</v>
      </c>
      <c r="J404" s="51"/>
      <c r="K404" s="117">
        <v>0.25</v>
      </c>
      <c r="L404" s="79"/>
      <c r="M404" s="25">
        <v>0.16</v>
      </c>
      <c r="N404" s="64"/>
      <c r="O404" s="86"/>
      <c r="P404" s="86"/>
      <c r="Q404" s="20"/>
      <c r="R404" s="80"/>
      <c r="S404" s="62"/>
      <c r="T404" s="18"/>
      <c r="U404" s="27"/>
      <c r="V404" s="27"/>
      <c r="W404" s="11"/>
      <c r="X404" s="11"/>
      <c r="Y404" s="11"/>
      <c r="Z404" s="11"/>
      <c r="AA404" s="20"/>
      <c r="AB404" s="88"/>
      <c r="AC404" s="22"/>
      <c r="AD404" s="93">
        <f>SUM(J405:J406)</f>
        <v>128008661457</v>
      </c>
      <c r="AE404" s="70">
        <f>SUM(T405:T406)</f>
        <v>92988755746</v>
      </c>
    </row>
    <row r="405" spans="1:31" ht="37.5" hidden="1">
      <c r="A405" s="56"/>
      <c r="B405" s="48"/>
      <c r="C405" s="60" t="s">
        <v>689</v>
      </c>
      <c r="D405" s="59" t="s">
        <v>690</v>
      </c>
      <c r="E405" s="109"/>
      <c r="F405" s="59"/>
      <c r="G405" s="59"/>
      <c r="H405" s="59"/>
      <c r="I405" s="109" t="s">
        <v>691</v>
      </c>
      <c r="J405" s="51">
        <v>127865191921</v>
      </c>
      <c r="K405" s="20">
        <f>974*3</f>
        <v>2922</v>
      </c>
      <c r="L405" s="79">
        <v>32804430720</v>
      </c>
      <c r="M405" s="20">
        <f>974*2</f>
        <v>1948</v>
      </c>
      <c r="N405" s="79">
        <f>46268861168-L405</f>
        <v>13464430448</v>
      </c>
      <c r="O405" s="86"/>
      <c r="P405" s="86">
        <f>92908261342-L405-N405</f>
        <v>46639400174</v>
      </c>
      <c r="Q405" s="25"/>
      <c r="R405" s="80"/>
      <c r="S405" s="87">
        <f t="shared" ref="S405:T405" si="359">K405+M405+O405+Q405</f>
        <v>4870</v>
      </c>
      <c r="T405" s="18">
        <f t="shared" si="359"/>
        <v>92908261342</v>
      </c>
      <c r="U405" s="27">
        <f>S405/11688</f>
        <v>0.41666666666666669</v>
      </c>
      <c r="V405" s="27">
        <f t="shared" ref="V405:V406" si="360">T405/J405</f>
        <v>0.72661104985790248</v>
      </c>
      <c r="W405" s="11"/>
      <c r="X405" s="11"/>
      <c r="Y405" s="11"/>
      <c r="Z405" s="11"/>
      <c r="AA405" s="20" t="s">
        <v>56</v>
      </c>
      <c r="AB405" s="88"/>
      <c r="AC405" s="22"/>
      <c r="AD405" s="22"/>
      <c r="AE405" s="88"/>
    </row>
    <row r="406" spans="1:31" ht="100" hidden="1">
      <c r="A406" s="56"/>
      <c r="B406" s="48"/>
      <c r="C406" s="60" t="s">
        <v>692</v>
      </c>
      <c r="D406" s="59" t="s">
        <v>693</v>
      </c>
      <c r="E406" s="20"/>
      <c r="F406" s="59"/>
      <c r="G406" s="59"/>
      <c r="H406" s="59"/>
      <c r="I406" s="20" t="s">
        <v>694</v>
      </c>
      <c r="J406" s="51">
        <v>143469536</v>
      </c>
      <c r="K406" s="61">
        <v>5</v>
      </c>
      <c r="L406" s="79">
        <v>23402134</v>
      </c>
      <c r="M406" s="20">
        <v>0</v>
      </c>
      <c r="N406" s="79">
        <f>42075954-L406</f>
        <v>18673820</v>
      </c>
      <c r="O406" s="86"/>
      <c r="P406" s="86">
        <f>80494404-L406-N406</f>
        <v>38418450</v>
      </c>
      <c r="Q406" s="20"/>
      <c r="R406" s="80"/>
      <c r="S406" s="87">
        <f t="shared" ref="S406:T406" si="361">K406+M406+O406+Q406</f>
        <v>5</v>
      </c>
      <c r="T406" s="18">
        <f t="shared" si="361"/>
        <v>80494404</v>
      </c>
      <c r="U406" s="27">
        <f>S406/5</f>
        <v>1</v>
      </c>
      <c r="V406" s="27">
        <f t="shared" si="360"/>
        <v>0.56105572126475689</v>
      </c>
      <c r="W406" s="11"/>
      <c r="X406" s="11"/>
      <c r="Y406" s="11"/>
      <c r="Z406" s="11"/>
      <c r="AA406" s="20" t="s">
        <v>56</v>
      </c>
      <c r="AB406" s="88"/>
      <c r="AC406" s="22"/>
      <c r="AD406" s="45"/>
      <c r="AE406" s="88"/>
    </row>
    <row r="407" spans="1:31" ht="39" hidden="1">
      <c r="A407" s="56"/>
      <c r="B407" s="48"/>
      <c r="C407" s="97" t="s">
        <v>695</v>
      </c>
      <c r="D407" s="66" t="s">
        <v>696</v>
      </c>
      <c r="E407" s="25"/>
      <c r="F407" s="59"/>
      <c r="G407" s="59"/>
      <c r="H407" s="59"/>
      <c r="I407" s="25">
        <v>1</v>
      </c>
      <c r="J407" s="51"/>
      <c r="K407" s="117">
        <v>0</v>
      </c>
      <c r="L407" s="41"/>
      <c r="M407" s="117">
        <v>0.1111111111111111</v>
      </c>
      <c r="N407" s="64"/>
      <c r="O407" s="86"/>
      <c r="P407" s="86"/>
      <c r="Q407" s="20"/>
      <c r="R407" s="80"/>
      <c r="S407" s="62"/>
      <c r="T407" s="18"/>
      <c r="U407" s="27"/>
      <c r="V407" s="27"/>
      <c r="W407" s="11"/>
      <c r="X407" s="11"/>
      <c r="Y407" s="11"/>
      <c r="Z407" s="11"/>
      <c r="AA407" s="20"/>
      <c r="AB407" s="88"/>
      <c r="AC407" s="22"/>
      <c r="AD407" s="93">
        <f>SUM(J408:J409)</f>
        <v>317269580</v>
      </c>
      <c r="AE407" s="70">
        <f>SUM(T408:T409)</f>
        <v>265132756</v>
      </c>
    </row>
    <row r="408" spans="1:31" ht="37.5" hidden="1">
      <c r="A408" s="56"/>
      <c r="B408" s="48"/>
      <c r="C408" s="60" t="s">
        <v>697</v>
      </c>
      <c r="D408" s="59" t="s">
        <v>698</v>
      </c>
      <c r="E408" s="20"/>
      <c r="F408" s="59"/>
      <c r="G408" s="59"/>
      <c r="H408" s="59"/>
      <c r="I408" s="20" t="s">
        <v>699</v>
      </c>
      <c r="J408" s="51">
        <v>90000000</v>
      </c>
      <c r="K408" s="61">
        <v>5</v>
      </c>
      <c r="L408" s="41">
        <v>0</v>
      </c>
      <c r="M408" s="61">
        <v>0</v>
      </c>
      <c r="N408" s="64">
        <f>73124175-L408</f>
        <v>73124175</v>
      </c>
      <c r="O408" s="86"/>
      <c r="P408" s="86">
        <f>74713025-L408-N408</f>
        <v>1588850</v>
      </c>
      <c r="Q408" s="20"/>
      <c r="R408" s="80"/>
      <c r="S408" s="87">
        <f t="shared" ref="S408:T408" si="362">K408+M408+O408+Q408</f>
        <v>5</v>
      </c>
      <c r="T408" s="18">
        <f t="shared" si="362"/>
        <v>74713025</v>
      </c>
      <c r="U408" s="27">
        <f>S408/5</f>
        <v>1</v>
      </c>
      <c r="V408" s="27">
        <f t="shared" ref="V408:V409" si="363">T408/J408</f>
        <v>0.83014472222222224</v>
      </c>
      <c r="W408" s="11"/>
      <c r="X408" s="11"/>
      <c r="Y408" s="11"/>
      <c r="Z408" s="11"/>
      <c r="AA408" s="20" t="s">
        <v>56</v>
      </c>
      <c r="AB408" s="88"/>
      <c r="AC408" s="22"/>
      <c r="AD408" s="22"/>
      <c r="AE408" s="88"/>
    </row>
    <row r="409" spans="1:31" ht="37.5" hidden="1">
      <c r="A409" s="56"/>
      <c r="B409" s="48"/>
      <c r="C409" s="60" t="s">
        <v>700</v>
      </c>
      <c r="D409" s="59" t="s">
        <v>701</v>
      </c>
      <c r="E409" s="109"/>
      <c r="F409" s="59"/>
      <c r="G409" s="59"/>
      <c r="H409" s="59"/>
      <c r="I409" s="109" t="s">
        <v>702</v>
      </c>
      <c r="J409" s="51">
        <v>227269580</v>
      </c>
      <c r="K409" s="61">
        <v>0</v>
      </c>
      <c r="L409" s="41">
        <v>29266821</v>
      </c>
      <c r="M409" s="61">
        <v>1</v>
      </c>
      <c r="N409" s="64">
        <f>52204791-L409</f>
        <v>22937970</v>
      </c>
      <c r="O409" s="86"/>
      <c r="P409" s="86">
        <f>190419731-L409-N409</f>
        <v>138214940</v>
      </c>
      <c r="Q409" s="25"/>
      <c r="R409" s="80"/>
      <c r="S409" s="87">
        <f t="shared" ref="S409:T409" si="364">K409+M409+O409+Q409</f>
        <v>1</v>
      </c>
      <c r="T409" s="18">
        <f t="shared" si="364"/>
        <v>190419731</v>
      </c>
      <c r="U409" s="27">
        <f>S409/4</f>
        <v>0.25</v>
      </c>
      <c r="V409" s="27">
        <f t="shared" si="363"/>
        <v>0.83785841906338721</v>
      </c>
      <c r="W409" s="11"/>
      <c r="X409" s="11"/>
      <c r="Y409" s="11"/>
      <c r="Z409" s="11"/>
      <c r="AA409" s="20" t="s">
        <v>56</v>
      </c>
      <c r="AB409" s="88"/>
      <c r="AC409" s="22"/>
      <c r="AD409" s="22"/>
      <c r="AE409" s="88"/>
    </row>
    <row r="410" spans="1:31" ht="39" hidden="1">
      <c r="A410" s="56"/>
      <c r="B410" s="48"/>
      <c r="C410" s="97" t="s">
        <v>703</v>
      </c>
      <c r="D410" s="66" t="s">
        <v>704</v>
      </c>
      <c r="E410" s="25"/>
      <c r="F410" s="59"/>
      <c r="G410" s="59"/>
      <c r="H410" s="59"/>
      <c r="I410" s="25">
        <v>1</v>
      </c>
      <c r="J410" s="51"/>
      <c r="K410" s="25">
        <v>0</v>
      </c>
      <c r="L410" s="41"/>
      <c r="M410" s="25">
        <v>0.36</v>
      </c>
      <c r="N410" s="64"/>
      <c r="O410" s="86"/>
      <c r="P410" s="86"/>
      <c r="Q410" s="20"/>
      <c r="R410" s="80"/>
      <c r="S410" s="62"/>
      <c r="T410" s="18"/>
      <c r="U410" s="27"/>
      <c r="V410" s="27"/>
      <c r="W410" s="11"/>
      <c r="X410" s="11"/>
      <c r="Y410" s="11"/>
      <c r="Z410" s="11"/>
      <c r="AA410" s="20"/>
      <c r="AB410" s="88"/>
      <c r="AC410" s="88"/>
      <c r="AD410" s="45">
        <f>J411</f>
        <v>49000000</v>
      </c>
      <c r="AE410" s="70">
        <f>T411</f>
        <v>5600000</v>
      </c>
    </row>
    <row r="411" spans="1:31" ht="50" hidden="1">
      <c r="A411" s="56"/>
      <c r="B411" s="48"/>
      <c r="C411" s="60" t="s">
        <v>705</v>
      </c>
      <c r="D411" s="59" t="s">
        <v>706</v>
      </c>
      <c r="E411" s="109"/>
      <c r="F411" s="59"/>
      <c r="G411" s="25"/>
      <c r="H411" s="59"/>
      <c r="I411" s="109" t="s">
        <v>707</v>
      </c>
      <c r="J411" s="51">
        <v>49000000</v>
      </c>
      <c r="K411" s="61">
        <v>0</v>
      </c>
      <c r="L411" s="41">
        <v>0</v>
      </c>
      <c r="M411" s="61">
        <v>25</v>
      </c>
      <c r="N411" s="64">
        <v>0</v>
      </c>
      <c r="O411" s="86"/>
      <c r="P411" s="86">
        <f>5600000-L411-N411</f>
        <v>5600000</v>
      </c>
      <c r="Q411" s="20"/>
      <c r="R411" s="80"/>
      <c r="S411" s="87">
        <f t="shared" ref="S411:T411" si="365">K411+M411+O411+Q411</f>
        <v>25</v>
      </c>
      <c r="T411" s="18">
        <f t="shared" si="365"/>
        <v>5600000</v>
      </c>
      <c r="U411" s="27">
        <f>S411/70</f>
        <v>0.35714285714285715</v>
      </c>
      <c r="V411" s="27">
        <f>T411/J411</f>
        <v>0.11428571428571428</v>
      </c>
      <c r="W411" s="11"/>
      <c r="X411" s="11"/>
      <c r="Y411" s="11"/>
      <c r="Z411" s="11"/>
      <c r="AA411" s="20" t="s">
        <v>56</v>
      </c>
      <c r="AB411" s="88"/>
      <c r="AC411" s="44"/>
      <c r="AD411" s="44"/>
      <c r="AE411" s="88"/>
    </row>
    <row r="412" spans="1:31" ht="26" hidden="1">
      <c r="A412" s="56"/>
      <c r="B412" s="48"/>
      <c r="C412" s="97" t="s">
        <v>708</v>
      </c>
      <c r="D412" s="66" t="s">
        <v>709</v>
      </c>
      <c r="E412" s="25"/>
      <c r="F412" s="59"/>
      <c r="G412" s="59"/>
      <c r="H412" s="59"/>
      <c r="I412" s="25">
        <v>0.8</v>
      </c>
      <c r="J412" s="51"/>
      <c r="K412" s="25">
        <v>0.15</v>
      </c>
      <c r="L412" s="41"/>
      <c r="M412" s="25">
        <v>0.17508417508417509</v>
      </c>
      <c r="N412" s="77"/>
      <c r="O412" s="86"/>
      <c r="P412" s="86"/>
      <c r="Q412" s="20"/>
      <c r="R412" s="80"/>
      <c r="S412" s="62"/>
      <c r="T412" s="18"/>
      <c r="U412" s="27"/>
      <c r="V412" s="27"/>
      <c r="W412" s="11"/>
      <c r="X412" s="11"/>
      <c r="Y412" s="11"/>
      <c r="Z412" s="11"/>
      <c r="AA412" s="20"/>
      <c r="AB412" s="88"/>
      <c r="AC412" s="22"/>
      <c r="AD412" s="93">
        <f>SUM(J413:J418)</f>
        <v>2313274560</v>
      </c>
      <c r="AE412" s="70">
        <f>SUM(T413:T418)</f>
        <v>1570093509</v>
      </c>
    </row>
    <row r="413" spans="1:31" ht="50" hidden="1">
      <c r="A413" s="56"/>
      <c r="B413" s="48"/>
      <c r="C413" s="60" t="s">
        <v>710</v>
      </c>
      <c r="D413" s="59" t="s">
        <v>711</v>
      </c>
      <c r="E413" s="109"/>
      <c r="F413" s="59"/>
      <c r="G413" s="59"/>
      <c r="H413" s="59"/>
      <c r="I413" s="109" t="s">
        <v>712</v>
      </c>
      <c r="J413" s="51">
        <v>37294000</v>
      </c>
      <c r="K413" s="61">
        <v>0</v>
      </c>
      <c r="L413" s="101">
        <v>0</v>
      </c>
      <c r="M413" s="61">
        <v>1</v>
      </c>
      <c r="N413" s="64">
        <v>0</v>
      </c>
      <c r="O413" s="86"/>
      <c r="P413" s="86">
        <f>35608500-L413-N413</f>
        <v>35608500</v>
      </c>
      <c r="Q413" s="117"/>
      <c r="R413" s="80"/>
      <c r="S413" s="87">
        <f t="shared" ref="S413:T413" si="366">K413+M413+O413+Q413</f>
        <v>1</v>
      </c>
      <c r="T413" s="18">
        <f t="shared" si="366"/>
        <v>35608500</v>
      </c>
      <c r="U413" s="27">
        <f t="shared" ref="U413:U415" si="367">S413/1</f>
        <v>1</v>
      </c>
      <c r="V413" s="27">
        <f t="shared" ref="V413:V418" si="368">T413/J413</f>
        <v>0.95480506247653774</v>
      </c>
      <c r="W413" s="11"/>
      <c r="X413" s="11"/>
      <c r="Y413" s="11"/>
      <c r="Z413" s="11"/>
      <c r="AA413" s="20" t="s">
        <v>56</v>
      </c>
      <c r="AB413" s="88"/>
      <c r="AC413" s="22"/>
      <c r="AD413" s="22"/>
      <c r="AE413" s="88"/>
    </row>
    <row r="414" spans="1:31" ht="37.5" hidden="1">
      <c r="A414" s="56"/>
      <c r="B414" s="48"/>
      <c r="C414" s="60" t="s">
        <v>713</v>
      </c>
      <c r="D414" s="59" t="s">
        <v>714</v>
      </c>
      <c r="E414" s="109"/>
      <c r="F414" s="59"/>
      <c r="G414" s="59"/>
      <c r="H414" s="59"/>
      <c r="I414" s="109" t="s">
        <v>712</v>
      </c>
      <c r="J414" s="51">
        <v>158000000</v>
      </c>
      <c r="K414" s="61">
        <v>0</v>
      </c>
      <c r="L414" s="101">
        <v>0</v>
      </c>
      <c r="M414" s="61">
        <v>1</v>
      </c>
      <c r="N414" s="64">
        <f>1000000-L414</f>
        <v>1000000</v>
      </c>
      <c r="O414" s="86"/>
      <c r="P414" s="86">
        <f>147462150-L414-N414</f>
        <v>146462150</v>
      </c>
      <c r="Q414" s="20"/>
      <c r="R414" s="80"/>
      <c r="S414" s="87">
        <f t="shared" ref="S414:T414" si="369">K414+M414+O414+Q414</f>
        <v>1</v>
      </c>
      <c r="T414" s="18">
        <f t="shared" si="369"/>
        <v>147462150</v>
      </c>
      <c r="U414" s="27">
        <f t="shared" si="367"/>
        <v>1</v>
      </c>
      <c r="V414" s="27">
        <f t="shared" si="368"/>
        <v>0.93330474683544307</v>
      </c>
      <c r="W414" s="11"/>
      <c r="X414" s="11"/>
      <c r="Y414" s="11"/>
      <c r="Z414" s="11"/>
      <c r="AA414" s="20" t="s">
        <v>56</v>
      </c>
      <c r="AB414" s="88"/>
      <c r="AC414" s="88"/>
      <c r="AD414" s="45"/>
      <c r="AE414" s="88"/>
    </row>
    <row r="415" spans="1:31" ht="37.5" hidden="1">
      <c r="A415" s="56"/>
      <c r="B415" s="48"/>
      <c r="C415" s="60" t="s">
        <v>715</v>
      </c>
      <c r="D415" s="59" t="s">
        <v>716</v>
      </c>
      <c r="E415" s="109"/>
      <c r="F415" s="59"/>
      <c r="G415" s="16"/>
      <c r="H415" s="59"/>
      <c r="I415" s="109" t="s">
        <v>712</v>
      </c>
      <c r="J415" s="51">
        <v>33550000</v>
      </c>
      <c r="K415" s="61">
        <v>0</v>
      </c>
      <c r="L415" s="101">
        <v>0</v>
      </c>
      <c r="M415" s="61">
        <v>1</v>
      </c>
      <c r="N415" s="64">
        <v>0</v>
      </c>
      <c r="O415" s="86"/>
      <c r="P415" s="86">
        <f>29999000-L415-N415</f>
        <v>29999000</v>
      </c>
      <c r="Q415" s="20"/>
      <c r="R415" s="80"/>
      <c r="S415" s="87">
        <f t="shared" ref="S415:T415" si="370">K415+M415+O415+Q415</f>
        <v>1</v>
      </c>
      <c r="T415" s="18">
        <f t="shared" si="370"/>
        <v>29999000</v>
      </c>
      <c r="U415" s="27">
        <f t="shared" si="367"/>
        <v>1</v>
      </c>
      <c r="V415" s="27">
        <f t="shared" si="368"/>
        <v>0.89415797317436663</v>
      </c>
      <c r="W415" s="11"/>
      <c r="X415" s="11"/>
      <c r="Y415" s="11"/>
      <c r="Z415" s="11"/>
      <c r="AA415" s="20" t="s">
        <v>56</v>
      </c>
      <c r="AB415" s="88"/>
      <c r="AC415" s="44"/>
      <c r="AD415" s="44"/>
      <c r="AE415" s="88"/>
    </row>
    <row r="416" spans="1:31" ht="37.5" hidden="1">
      <c r="A416" s="56"/>
      <c r="B416" s="48"/>
      <c r="C416" s="60" t="s">
        <v>717</v>
      </c>
      <c r="D416" s="59" t="s">
        <v>718</v>
      </c>
      <c r="E416" s="109"/>
      <c r="F416" s="59"/>
      <c r="G416" s="59"/>
      <c r="H416" s="59"/>
      <c r="I416" s="109" t="s">
        <v>719</v>
      </c>
      <c r="J416" s="51">
        <v>680454500</v>
      </c>
      <c r="K416" s="61">
        <v>0</v>
      </c>
      <c r="L416" s="79">
        <v>24682000</v>
      </c>
      <c r="M416" s="61">
        <v>1</v>
      </c>
      <c r="N416" s="64">
        <f>24682000-L416</f>
        <v>0</v>
      </c>
      <c r="O416" s="86"/>
      <c r="P416" s="86">
        <f>508984100-L416-N416</f>
        <v>484302100</v>
      </c>
      <c r="Q416" s="117"/>
      <c r="R416" s="80"/>
      <c r="S416" s="87">
        <f t="shared" ref="S416:T416" si="371">K416+M416+O416+Q416</f>
        <v>1</v>
      </c>
      <c r="T416" s="18">
        <f t="shared" si="371"/>
        <v>508984100</v>
      </c>
      <c r="U416" s="27">
        <f>S416/3</f>
        <v>0.33333333333333331</v>
      </c>
      <c r="V416" s="27">
        <f t="shared" si="368"/>
        <v>0.74800607535110719</v>
      </c>
      <c r="W416" s="11"/>
      <c r="X416" s="11"/>
      <c r="Y416" s="11"/>
      <c r="Z416" s="11"/>
      <c r="AA416" s="20" t="s">
        <v>56</v>
      </c>
      <c r="AB416" s="88"/>
      <c r="AC416" s="22"/>
      <c r="AD416" s="22"/>
      <c r="AE416" s="88"/>
    </row>
    <row r="417" spans="1:31" ht="50" hidden="1">
      <c r="A417" s="56"/>
      <c r="B417" s="48"/>
      <c r="C417" s="60" t="s">
        <v>720</v>
      </c>
      <c r="D417" s="59" t="s">
        <v>721</v>
      </c>
      <c r="E417" s="20"/>
      <c r="F417" s="59"/>
      <c r="G417" s="59"/>
      <c r="H417" s="59"/>
      <c r="I417" s="20" t="s">
        <v>413</v>
      </c>
      <c r="J417" s="51">
        <v>3000000</v>
      </c>
      <c r="K417" s="61">
        <v>0</v>
      </c>
      <c r="L417" s="79">
        <v>0</v>
      </c>
      <c r="M417" s="61">
        <v>2</v>
      </c>
      <c r="N417" s="64">
        <f>370000-L417</f>
        <v>370000</v>
      </c>
      <c r="O417" s="86"/>
      <c r="P417" s="86">
        <f>2110000-L417-N417</f>
        <v>1740000</v>
      </c>
      <c r="Q417" s="20"/>
      <c r="R417" s="80"/>
      <c r="S417" s="87">
        <f t="shared" ref="S417:T417" si="372">K417+M417+O417+Q417</f>
        <v>2</v>
      </c>
      <c r="T417" s="18">
        <f t="shared" si="372"/>
        <v>2110000</v>
      </c>
      <c r="U417" s="27">
        <v>1</v>
      </c>
      <c r="V417" s="27">
        <f t="shared" si="368"/>
        <v>0.70333333333333337</v>
      </c>
      <c r="W417" s="11"/>
      <c r="X417" s="11"/>
      <c r="Y417" s="11"/>
      <c r="Z417" s="11"/>
      <c r="AA417" s="20" t="s">
        <v>56</v>
      </c>
      <c r="AB417" s="88"/>
      <c r="AC417" s="22"/>
      <c r="AD417" s="45"/>
      <c r="AE417" s="88"/>
    </row>
    <row r="418" spans="1:31" ht="50" hidden="1">
      <c r="A418" s="56"/>
      <c r="B418" s="48"/>
      <c r="C418" s="60" t="s">
        <v>722</v>
      </c>
      <c r="D418" s="59" t="s">
        <v>723</v>
      </c>
      <c r="E418" s="20"/>
      <c r="F418" s="59"/>
      <c r="G418" s="59"/>
      <c r="H418" s="59"/>
      <c r="I418" s="20" t="s">
        <v>724</v>
      </c>
      <c r="J418" s="51">
        <v>1400976060</v>
      </c>
      <c r="K418" s="61">
        <v>275</v>
      </c>
      <c r="L418" s="41">
        <v>233970215</v>
      </c>
      <c r="M418" s="61">
        <v>150</v>
      </c>
      <c r="N418" s="64">
        <f>460540318-L418</f>
        <v>226570103</v>
      </c>
      <c r="O418" s="86"/>
      <c r="P418" s="86">
        <f>845929759-L418-N418</f>
        <v>385389441</v>
      </c>
      <c r="Q418" s="20"/>
      <c r="R418" s="80"/>
      <c r="S418" s="87">
        <f t="shared" ref="S418:T418" si="373">K418+M418+O418+Q418</f>
        <v>425</v>
      </c>
      <c r="T418" s="18">
        <f t="shared" si="373"/>
        <v>845929759</v>
      </c>
      <c r="U418" s="27">
        <f>S418/884</f>
        <v>0.48076923076923078</v>
      </c>
      <c r="V418" s="27">
        <f t="shared" si="368"/>
        <v>0.60381457124970428</v>
      </c>
      <c r="W418" s="11"/>
      <c r="X418" s="11"/>
      <c r="Y418" s="11"/>
      <c r="Z418" s="11"/>
      <c r="AA418" s="20" t="s">
        <v>56</v>
      </c>
      <c r="AB418" s="88"/>
      <c r="AC418" s="22"/>
      <c r="AD418" s="44"/>
      <c r="AE418" s="88"/>
    </row>
    <row r="419" spans="1:31" ht="52" hidden="1">
      <c r="A419" s="56"/>
      <c r="B419" s="48"/>
      <c r="C419" s="66" t="s">
        <v>725</v>
      </c>
      <c r="D419" s="66" t="s">
        <v>726</v>
      </c>
      <c r="E419" s="25"/>
      <c r="F419" s="59"/>
      <c r="G419" s="59"/>
      <c r="H419" s="59"/>
      <c r="I419" s="25">
        <v>0.8</v>
      </c>
      <c r="J419" s="51"/>
      <c r="K419" s="25">
        <v>0</v>
      </c>
      <c r="L419" s="41"/>
      <c r="M419" s="25">
        <v>1</v>
      </c>
      <c r="N419" s="64"/>
      <c r="O419" s="86"/>
      <c r="P419" s="86"/>
      <c r="Q419" s="20"/>
      <c r="R419" s="80"/>
      <c r="S419" s="62"/>
      <c r="T419" s="18"/>
      <c r="U419" s="27"/>
      <c r="V419" s="27"/>
      <c r="W419" s="11"/>
      <c r="X419" s="11"/>
      <c r="Y419" s="11"/>
      <c r="Z419" s="11"/>
      <c r="AA419" s="20"/>
      <c r="AB419" s="88"/>
      <c r="AC419" s="22"/>
      <c r="AD419" s="93">
        <f>J420</f>
        <v>48110000</v>
      </c>
      <c r="AE419" s="70">
        <f>T420</f>
        <v>11500000</v>
      </c>
    </row>
    <row r="420" spans="1:31" ht="50" hidden="1">
      <c r="A420" s="56"/>
      <c r="B420" s="48"/>
      <c r="C420" s="59" t="s">
        <v>727</v>
      </c>
      <c r="D420" s="59" t="s">
        <v>728</v>
      </c>
      <c r="E420" s="20"/>
      <c r="F420" s="59"/>
      <c r="G420" s="59"/>
      <c r="H420" s="59"/>
      <c r="I420" s="20" t="s">
        <v>729</v>
      </c>
      <c r="J420" s="51">
        <v>48110000</v>
      </c>
      <c r="K420" s="61">
        <v>0</v>
      </c>
      <c r="L420" s="79">
        <v>0</v>
      </c>
      <c r="M420" s="61">
        <v>6</v>
      </c>
      <c r="N420" s="64">
        <v>0</v>
      </c>
      <c r="O420" s="86"/>
      <c r="P420" s="86">
        <f>11500000-L420-N420</f>
        <v>11500000</v>
      </c>
      <c r="Q420" s="20"/>
      <c r="R420" s="80"/>
      <c r="S420" s="87">
        <f t="shared" ref="S420:T420" si="374">K420+M420+O420+Q420</f>
        <v>6</v>
      </c>
      <c r="T420" s="18">
        <f t="shared" si="374"/>
        <v>11500000</v>
      </c>
      <c r="U420" s="27">
        <v>1</v>
      </c>
      <c r="V420" s="27">
        <f>T420/J420</f>
        <v>0.23903554354604031</v>
      </c>
      <c r="W420" s="11"/>
      <c r="X420" s="11"/>
      <c r="Y420" s="11"/>
      <c r="Z420" s="11"/>
      <c r="AA420" s="20" t="s">
        <v>56</v>
      </c>
      <c r="AB420" s="88"/>
      <c r="AC420" s="22"/>
      <c r="AD420" s="22"/>
      <c r="AE420" s="88"/>
    </row>
    <row r="421" spans="1:31" ht="39" hidden="1">
      <c r="A421" s="56"/>
      <c r="B421" s="48"/>
      <c r="C421" s="66" t="s">
        <v>730</v>
      </c>
      <c r="D421" s="66" t="s">
        <v>731</v>
      </c>
      <c r="E421" s="25"/>
      <c r="F421" s="59"/>
      <c r="G421" s="25"/>
      <c r="H421" s="59"/>
      <c r="I421" s="25">
        <v>1</v>
      </c>
      <c r="J421" s="51"/>
      <c r="K421" s="25">
        <v>0.25</v>
      </c>
      <c r="L421" s="79"/>
      <c r="M421" s="25">
        <v>0.5</v>
      </c>
      <c r="N421" s="64"/>
      <c r="O421" s="86"/>
      <c r="P421" s="86"/>
      <c r="Q421" s="20"/>
      <c r="R421" s="80"/>
      <c r="S421" s="62"/>
      <c r="T421" s="18"/>
      <c r="U421" s="27"/>
      <c r="V421" s="27"/>
      <c r="W421" s="11"/>
      <c r="X421" s="11"/>
      <c r="Y421" s="11"/>
      <c r="Z421" s="11"/>
      <c r="AA421" s="20"/>
      <c r="AB421" s="88"/>
      <c r="AC421" s="44"/>
      <c r="AD421" s="93">
        <f>SUM(J422:J423)</f>
        <v>1202346000</v>
      </c>
      <c r="AE421" s="70">
        <f>SUM(T422:T423)</f>
        <v>660746773</v>
      </c>
    </row>
    <row r="422" spans="1:31" ht="50" hidden="1">
      <c r="A422" s="56"/>
      <c r="B422" s="48"/>
      <c r="C422" s="59" t="s">
        <v>732</v>
      </c>
      <c r="D422" s="59" t="s">
        <v>733</v>
      </c>
      <c r="E422" s="20"/>
      <c r="F422" s="59"/>
      <c r="G422" s="59"/>
      <c r="H422" s="59"/>
      <c r="I422" s="20" t="s">
        <v>702</v>
      </c>
      <c r="J422" s="51">
        <v>461000000</v>
      </c>
      <c r="K422" s="61">
        <v>1</v>
      </c>
      <c r="L422" s="79">
        <v>27109885</v>
      </c>
      <c r="M422" s="61">
        <v>2</v>
      </c>
      <c r="N422" s="64">
        <f>136388688-L422</f>
        <v>109278803</v>
      </c>
      <c r="O422" s="86"/>
      <c r="P422" s="86">
        <f>243176773-L422-N422</f>
        <v>106788085</v>
      </c>
      <c r="Q422" s="20"/>
      <c r="R422" s="80"/>
      <c r="S422" s="87">
        <f t="shared" ref="S422:T422" si="375">K422+M422+O422+Q422</f>
        <v>3</v>
      </c>
      <c r="T422" s="18">
        <f t="shared" si="375"/>
        <v>243176773</v>
      </c>
      <c r="U422" s="27">
        <f>S422/4</f>
        <v>0.75</v>
      </c>
      <c r="V422" s="27">
        <f t="shared" ref="V422:V423" si="376">T422/J422</f>
        <v>0.52749842299349237</v>
      </c>
      <c r="W422" s="11"/>
      <c r="X422" s="11"/>
      <c r="Y422" s="11"/>
      <c r="Z422" s="11"/>
      <c r="AA422" s="20" t="s">
        <v>56</v>
      </c>
      <c r="AB422" s="88"/>
      <c r="AC422" s="22"/>
      <c r="AD422" s="22"/>
      <c r="AE422" s="88"/>
    </row>
    <row r="423" spans="1:31" ht="37.5" hidden="1">
      <c r="A423" s="56"/>
      <c r="B423" s="48"/>
      <c r="C423" s="59" t="s">
        <v>734</v>
      </c>
      <c r="D423" s="59" t="s">
        <v>735</v>
      </c>
      <c r="E423" s="20"/>
      <c r="F423" s="59"/>
      <c r="G423" s="59"/>
      <c r="H423" s="59"/>
      <c r="I423" s="20" t="s">
        <v>468</v>
      </c>
      <c r="J423" s="51">
        <v>741346000</v>
      </c>
      <c r="K423" s="61">
        <v>3</v>
      </c>
      <c r="L423" s="51">
        <v>85605000</v>
      </c>
      <c r="M423" s="61">
        <v>2</v>
      </c>
      <c r="N423" s="64">
        <f>189595000-L423</f>
        <v>103990000</v>
      </c>
      <c r="O423" s="86"/>
      <c r="P423" s="86">
        <f>417570000-L423-N423</f>
        <v>227975000</v>
      </c>
      <c r="Q423" s="20"/>
      <c r="R423" s="80"/>
      <c r="S423" s="87">
        <f t="shared" ref="S423:T423" si="377">K423+M423+O423+Q423</f>
        <v>5</v>
      </c>
      <c r="T423" s="18">
        <f t="shared" si="377"/>
        <v>417570000</v>
      </c>
      <c r="U423" s="27">
        <v>1</v>
      </c>
      <c r="V423" s="27">
        <f t="shared" si="376"/>
        <v>0.56325926085795297</v>
      </c>
      <c r="W423" s="11"/>
      <c r="X423" s="11"/>
      <c r="Y423" s="11"/>
      <c r="Z423" s="11"/>
      <c r="AA423" s="20" t="s">
        <v>56</v>
      </c>
      <c r="AB423" s="88"/>
      <c r="AC423" s="88"/>
      <c r="AD423" s="88"/>
      <c r="AE423" s="88"/>
    </row>
    <row r="424" spans="1:31" ht="52" hidden="1">
      <c r="A424" s="56"/>
      <c r="B424" s="48"/>
      <c r="C424" s="66" t="s">
        <v>736</v>
      </c>
      <c r="D424" s="66" t="s">
        <v>737</v>
      </c>
      <c r="E424" s="25"/>
      <c r="F424" s="59"/>
      <c r="G424" s="59"/>
      <c r="H424" s="59"/>
      <c r="I424" s="25">
        <v>0.73</v>
      </c>
      <c r="J424" s="51"/>
      <c r="K424" s="117">
        <v>0.1</v>
      </c>
      <c r="L424" s="51"/>
      <c r="M424" s="117">
        <v>0.15238095238095239</v>
      </c>
      <c r="N424" s="64"/>
      <c r="O424" s="86"/>
      <c r="P424" s="86"/>
      <c r="Q424" s="117"/>
      <c r="R424" s="80"/>
      <c r="S424" s="62"/>
      <c r="T424" s="18"/>
      <c r="U424" s="27"/>
      <c r="V424" s="27"/>
      <c r="W424" s="11"/>
      <c r="X424" s="11"/>
      <c r="Y424" s="11"/>
      <c r="Z424" s="11"/>
      <c r="AA424" s="20"/>
      <c r="AB424" s="88"/>
      <c r="AC424" s="22"/>
      <c r="AD424" s="93">
        <f>SUM(J425:J428)</f>
        <v>677894500</v>
      </c>
      <c r="AE424" s="70">
        <f>SUM(T425:T428)</f>
        <v>388318865</v>
      </c>
    </row>
    <row r="425" spans="1:31" ht="75" hidden="1">
      <c r="A425" s="56"/>
      <c r="B425" s="48"/>
      <c r="C425" s="59" t="s">
        <v>738</v>
      </c>
      <c r="D425" s="59" t="s">
        <v>739</v>
      </c>
      <c r="E425" s="20"/>
      <c r="F425" s="59"/>
      <c r="G425" s="59"/>
      <c r="H425" s="59"/>
      <c r="I425" s="20" t="s">
        <v>740</v>
      </c>
      <c r="J425" s="51">
        <v>103600000</v>
      </c>
      <c r="K425" s="61">
        <v>2</v>
      </c>
      <c r="L425" s="41">
        <v>0</v>
      </c>
      <c r="M425" s="61">
        <v>1</v>
      </c>
      <c r="N425" s="64">
        <f>20000000-L425</f>
        <v>20000000</v>
      </c>
      <c r="O425" s="86"/>
      <c r="P425" s="86">
        <f>61679612-L425-N425</f>
        <v>41679612</v>
      </c>
      <c r="Q425" s="20"/>
      <c r="R425" s="80"/>
      <c r="S425" s="87">
        <f t="shared" ref="S425:T425" si="378">K425+M425+O425+Q425</f>
        <v>3</v>
      </c>
      <c r="T425" s="18">
        <f t="shared" si="378"/>
        <v>61679612</v>
      </c>
      <c r="U425" s="27">
        <v>1</v>
      </c>
      <c r="V425" s="27">
        <f t="shared" ref="V425:V428" si="379">T425/J425</f>
        <v>0.59536305019305025</v>
      </c>
      <c r="W425" s="11"/>
      <c r="X425" s="11"/>
      <c r="Y425" s="11"/>
      <c r="Z425" s="11"/>
      <c r="AA425" s="20" t="s">
        <v>56</v>
      </c>
      <c r="AB425" s="88"/>
      <c r="AC425" s="88"/>
      <c r="AD425" s="45"/>
      <c r="AE425" s="88"/>
    </row>
    <row r="426" spans="1:31" ht="62.5" hidden="1">
      <c r="A426" s="56"/>
      <c r="B426" s="48"/>
      <c r="C426" s="59" t="s">
        <v>741</v>
      </c>
      <c r="D426" s="59" t="s">
        <v>742</v>
      </c>
      <c r="E426" s="20"/>
      <c r="F426" s="59"/>
      <c r="G426" s="59"/>
      <c r="H426" s="59"/>
      <c r="I426" s="20" t="s">
        <v>743</v>
      </c>
      <c r="J426" s="51">
        <v>150600500</v>
      </c>
      <c r="K426" s="61">
        <v>7</v>
      </c>
      <c r="L426" s="41">
        <v>0</v>
      </c>
      <c r="M426" s="61">
        <v>2</v>
      </c>
      <c r="N426" s="64">
        <f>18375900-L426</f>
        <v>18375900</v>
      </c>
      <c r="O426" s="86"/>
      <c r="P426" s="86">
        <f>65018878-L426-N426</f>
        <v>46642978</v>
      </c>
      <c r="Q426" s="20"/>
      <c r="R426" s="80"/>
      <c r="S426" s="87">
        <f t="shared" ref="S426:T426" si="380">K426+M426+O426+Q426</f>
        <v>9</v>
      </c>
      <c r="T426" s="18">
        <f t="shared" si="380"/>
        <v>65018878</v>
      </c>
      <c r="U426" s="27">
        <f>S426/15</f>
        <v>0.6</v>
      </c>
      <c r="V426" s="27">
        <f t="shared" si="379"/>
        <v>0.43173082426685172</v>
      </c>
      <c r="W426" s="11"/>
      <c r="X426" s="11"/>
      <c r="Y426" s="11"/>
      <c r="Z426" s="11"/>
      <c r="AA426" s="20" t="s">
        <v>56</v>
      </c>
      <c r="AB426" s="88"/>
      <c r="AC426" s="88"/>
      <c r="AD426" s="22"/>
      <c r="AE426" s="88"/>
    </row>
    <row r="427" spans="1:31" ht="37.5" hidden="1">
      <c r="A427" s="56"/>
      <c r="B427" s="48"/>
      <c r="C427" s="59" t="s">
        <v>744</v>
      </c>
      <c r="D427" s="59" t="s">
        <v>745</v>
      </c>
      <c r="E427" s="20"/>
      <c r="F427" s="59"/>
      <c r="G427" s="59"/>
      <c r="H427" s="59"/>
      <c r="I427" s="20" t="s">
        <v>746</v>
      </c>
      <c r="J427" s="51">
        <v>221290000</v>
      </c>
      <c r="K427" s="61">
        <v>0</v>
      </c>
      <c r="L427" s="51">
        <v>11559800</v>
      </c>
      <c r="M427" s="61">
        <v>3</v>
      </c>
      <c r="N427" s="64">
        <f>11559800-L427</f>
        <v>0</v>
      </c>
      <c r="O427" s="86"/>
      <c r="P427" s="86">
        <f>220001595-L427-N427</f>
        <v>208441795</v>
      </c>
      <c r="Q427" s="20"/>
      <c r="R427" s="80"/>
      <c r="S427" s="87">
        <f t="shared" ref="S427:T427" si="381">K427+M427+O427+Q427</f>
        <v>3</v>
      </c>
      <c r="T427" s="18">
        <f t="shared" si="381"/>
        <v>220001595</v>
      </c>
      <c r="U427" s="27">
        <f>S427/3</f>
        <v>1</v>
      </c>
      <c r="V427" s="27">
        <f t="shared" si="379"/>
        <v>0.99417775317456736</v>
      </c>
      <c r="W427" s="11"/>
      <c r="X427" s="11"/>
      <c r="Y427" s="11"/>
      <c r="Z427" s="11"/>
      <c r="AA427" s="20" t="s">
        <v>56</v>
      </c>
      <c r="AB427" s="88"/>
      <c r="AC427" s="22"/>
      <c r="AD427" s="22"/>
      <c r="AE427" s="88"/>
    </row>
    <row r="428" spans="1:31" ht="62.5" hidden="1">
      <c r="A428" s="56"/>
      <c r="B428" s="48"/>
      <c r="C428" s="59" t="s">
        <v>747</v>
      </c>
      <c r="D428" s="59" t="s">
        <v>748</v>
      </c>
      <c r="E428" s="109"/>
      <c r="F428" s="59"/>
      <c r="G428" s="59"/>
      <c r="H428" s="59"/>
      <c r="I428" s="109" t="s">
        <v>749</v>
      </c>
      <c r="J428" s="51">
        <v>202404000</v>
      </c>
      <c r="K428" s="61">
        <v>7</v>
      </c>
      <c r="L428" s="51">
        <v>0</v>
      </c>
      <c r="M428" s="61">
        <v>10</v>
      </c>
      <c r="N428" s="64">
        <f>8545000-L428</f>
        <v>8545000</v>
      </c>
      <c r="O428" s="86"/>
      <c r="P428" s="86">
        <f>41618780-L428-N428</f>
        <v>33073780</v>
      </c>
      <c r="Q428" s="117"/>
      <c r="R428" s="80"/>
      <c r="S428" s="87">
        <f t="shared" ref="S428:T428" si="382">K428+M428+O428+Q428</f>
        <v>17</v>
      </c>
      <c r="T428" s="18">
        <f t="shared" si="382"/>
        <v>41618780</v>
      </c>
      <c r="U428" s="27">
        <f>S428/85</f>
        <v>0.2</v>
      </c>
      <c r="V428" s="27">
        <f t="shared" si="379"/>
        <v>0.20562231971700165</v>
      </c>
      <c r="W428" s="11"/>
      <c r="X428" s="11"/>
      <c r="Y428" s="11"/>
      <c r="Z428" s="11"/>
      <c r="AA428" s="20" t="s">
        <v>56</v>
      </c>
      <c r="AB428" s="88"/>
      <c r="AC428" s="88"/>
      <c r="AD428" s="22"/>
      <c r="AE428" s="88"/>
    </row>
    <row r="429" spans="1:31" ht="39" hidden="1">
      <c r="A429" s="56"/>
      <c r="B429" s="48"/>
      <c r="C429" s="39" t="s">
        <v>750</v>
      </c>
      <c r="D429" s="66" t="s">
        <v>751</v>
      </c>
      <c r="E429" s="16"/>
      <c r="F429" s="59"/>
      <c r="G429" s="59"/>
      <c r="H429" s="59"/>
      <c r="I429" s="16">
        <v>0.94499999999999995</v>
      </c>
      <c r="J429" s="51"/>
      <c r="K429" s="116" t="s">
        <v>676</v>
      </c>
      <c r="L429" s="51"/>
      <c r="M429" s="16">
        <v>0.94</v>
      </c>
      <c r="N429" s="64"/>
      <c r="O429" s="86"/>
      <c r="P429" s="86"/>
      <c r="Q429" s="20"/>
      <c r="R429" s="80"/>
      <c r="S429" s="62"/>
      <c r="T429" s="18"/>
      <c r="U429" s="27"/>
      <c r="V429" s="27"/>
      <c r="W429" s="11"/>
      <c r="X429" s="11"/>
      <c r="Y429" s="11"/>
      <c r="Z429" s="11"/>
      <c r="AA429" s="20"/>
      <c r="AB429" s="88"/>
      <c r="AC429" s="22"/>
      <c r="AD429" s="45">
        <f>SUM(J431:J447)</f>
        <v>70075243899</v>
      </c>
      <c r="AE429" s="70">
        <f>SUM(T431:T447)</f>
        <v>21339304787.139999</v>
      </c>
    </row>
    <row r="430" spans="1:31" ht="26" hidden="1">
      <c r="A430" s="56"/>
      <c r="B430" s="48"/>
      <c r="C430" s="57"/>
      <c r="D430" s="66" t="s">
        <v>752</v>
      </c>
      <c r="E430" s="25"/>
      <c r="F430" s="59"/>
      <c r="G430" s="59"/>
      <c r="H430" s="59"/>
      <c r="I430" s="25">
        <v>1</v>
      </c>
      <c r="J430" s="51"/>
      <c r="K430" s="25">
        <v>1</v>
      </c>
      <c r="L430" s="51"/>
      <c r="M430" s="25">
        <v>1</v>
      </c>
      <c r="N430" s="64"/>
      <c r="O430" s="86"/>
      <c r="P430" s="86"/>
      <c r="Q430" s="20"/>
      <c r="R430" s="80"/>
      <c r="S430" s="62"/>
      <c r="T430" s="18"/>
      <c r="U430" s="27"/>
      <c r="V430" s="27"/>
      <c r="W430" s="11"/>
      <c r="X430" s="11"/>
      <c r="Y430" s="11"/>
      <c r="Z430" s="11"/>
      <c r="AA430" s="20"/>
      <c r="AB430" s="88"/>
      <c r="AC430" s="88"/>
      <c r="AD430" s="22"/>
      <c r="AE430" s="88"/>
    </row>
    <row r="431" spans="1:31" ht="37.5" hidden="1">
      <c r="A431" s="56"/>
      <c r="B431" s="48"/>
      <c r="C431" s="59" t="s">
        <v>753</v>
      </c>
      <c r="D431" s="59" t="s">
        <v>754</v>
      </c>
      <c r="E431" s="20" t="s">
        <v>755</v>
      </c>
      <c r="F431" s="51">
        <v>31625000000</v>
      </c>
      <c r="G431" s="59"/>
      <c r="H431" s="59"/>
      <c r="I431" s="20" t="s">
        <v>756</v>
      </c>
      <c r="J431" s="51">
        <v>33788490723</v>
      </c>
      <c r="K431" s="61">
        <v>1</v>
      </c>
      <c r="L431" s="79">
        <v>4362728781</v>
      </c>
      <c r="M431" s="20">
        <v>1</v>
      </c>
      <c r="N431" s="64">
        <v>5238765171</v>
      </c>
      <c r="O431" s="86"/>
      <c r="P431" s="86"/>
      <c r="Q431" s="20"/>
      <c r="R431" s="80"/>
      <c r="S431" s="62">
        <f t="shared" ref="S431:S447" si="383">K431</f>
        <v>1</v>
      </c>
      <c r="T431" s="18">
        <f t="shared" ref="T431:T447" si="384">L431+N431+P431+R431</f>
        <v>9601493952</v>
      </c>
      <c r="U431" s="27">
        <v>1</v>
      </c>
      <c r="V431" s="27">
        <f t="shared" ref="V431:V447" si="385">T431/J431</f>
        <v>0.28416462962828387</v>
      </c>
      <c r="W431" s="11"/>
      <c r="X431" s="11"/>
      <c r="Y431" s="11"/>
      <c r="Z431" s="11"/>
      <c r="AA431" s="20" t="s">
        <v>416</v>
      </c>
      <c r="AB431" s="88"/>
      <c r="AC431" s="22"/>
      <c r="AD431" s="22"/>
      <c r="AE431" s="88"/>
    </row>
    <row r="432" spans="1:31" ht="37.5" hidden="1">
      <c r="A432" s="56"/>
      <c r="B432" s="48"/>
      <c r="C432" s="59" t="s">
        <v>757</v>
      </c>
      <c r="D432" s="59" t="s">
        <v>754</v>
      </c>
      <c r="E432" s="109" t="s">
        <v>755</v>
      </c>
      <c r="F432" s="51">
        <v>2300000000</v>
      </c>
      <c r="G432" s="59"/>
      <c r="H432" s="59"/>
      <c r="I432" s="109" t="s">
        <v>756</v>
      </c>
      <c r="J432" s="51">
        <v>3329911883</v>
      </c>
      <c r="K432" s="61">
        <v>1</v>
      </c>
      <c r="L432" s="51">
        <v>386893400</v>
      </c>
      <c r="M432" s="61">
        <v>1</v>
      </c>
      <c r="N432" s="51">
        <v>399684940</v>
      </c>
      <c r="O432" s="86"/>
      <c r="P432" s="86"/>
      <c r="Q432" s="10"/>
      <c r="R432" s="80"/>
      <c r="S432" s="62">
        <f t="shared" si="383"/>
        <v>1</v>
      </c>
      <c r="T432" s="18">
        <f t="shared" si="384"/>
        <v>786578340</v>
      </c>
      <c r="U432" s="27">
        <v>1</v>
      </c>
      <c r="V432" s="27">
        <f t="shared" si="385"/>
        <v>0.23621596235494138</v>
      </c>
      <c r="W432" s="11"/>
      <c r="X432" s="11"/>
      <c r="Y432" s="11"/>
      <c r="Z432" s="11"/>
      <c r="AA432" s="20" t="s">
        <v>112</v>
      </c>
      <c r="AB432" s="88"/>
      <c r="AC432" s="88"/>
      <c r="AD432" s="22"/>
      <c r="AE432" s="88"/>
    </row>
    <row r="433" spans="1:31" ht="37.5" hidden="1">
      <c r="A433" s="56"/>
      <c r="B433" s="48"/>
      <c r="C433" s="59" t="s">
        <v>758</v>
      </c>
      <c r="D433" s="59" t="s">
        <v>754</v>
      </c>
      <c r="E433" s="20" t="s">
        <v>755</v>
      </c>
      <c r="F433" s="51">
        <v>2000000000</v>
      </c>
      <c r="G433" s="59"/>
      <c r="H433" s="59"/>
      <c r="I433" s="20" t="s">
        <v>756</v>
      </c>
      <c r="J433" s="51">
        <v>2274298078</v>
      </c>
      <c r="K433" s="61">
        <v>1</v>
      </c>
      <c r="L433" s="41">
        <v>433995862</v>
      </c>
      <c r="M433" s="20">
        <v>1</v>
      </c>
      <c r="N433" s="64">
        <v>510734928</v>
      </c>
      <c r="O433" s="86"/>
      <c r="P433" s="86"/>
      <c r="Q433" s="20"/>
      <c r="R433" s="80"/>
      <c r="S433" s="62">
        <f t="shared" si="383"/>
        <v>1</v>
      </c>
      <c r="T433" s="18">
        <f t="shared" si="384"/>
        <v>944730790</v>
      </c>
      <c r="U433" s="27">
        <v>1</v>
      </c>
      <c r="V433" s="27">
        <f t="shared" si="385"/>
        <v>0.41539444593418856</v>
      </c>
      <c r="W433" s="11"/>
      <c r="X433" s="11"/>
      <c r="Y433" s="11"/>
      <c r="Z433" s="11"/>
      <c r="AA433" s="20" t="s">
        <v>115</v>
      </c>
      <c r="AB433" s="88"/>
      <c r="AC433" s="22"/>
      <c r="AD433" s="45"/>
      <c r="AE433" s="88"/>
    </row>
    <row r="434" spans="1:31" ht="37.5" hidden="1">
      <c r="A434" s="56"/>
      <c r="B434" s="48"/>
      <c r="C434" s="59" t="s">
        <v>759</v>
      </c>
      <c r="D434" s="59" t="s">
        <v>754</v>
      </c>
      <c r="E434" s="20" t="s">
        <v>755</v>
      </c>
      <c r="F434" s="51">
        <v>1875500000</v>
      </c>
      <c r="G434" s="59"/>
      <c r="H434" s="59"/>
      <c r="I434" s="20" t="s">
        <v>756</v>
      </c>
      <c r="J434" s="51">
        <v>1766234021</v>
      </c>
      <c r="K434" s="61">
        <v>1</v>
      </c>
      <c r="L434" s="51">
        <v>242393227</v>
      </c>
      <c r="M434" s="61">
        <v>1</v>
      </c>
      <c r="N434" s="51">
        <v>227708828</v>
      </c>
      <c r="O434" s="86"/>
      <c r="P434" s="86"/>
      <c r="Q434" s="20"/>
      <c r="R434" s="80"/>
      <c r="S434" s="62">
        <f t="shared" si="383"/>
        <v>1</v>
      </c>
      <c r="T434" s="18">
        <f t="shared" si="384"/>
        <v>470102055</v>
      </c>
      <c r="U434" s="27">
        <v>1</v>
      </c>
      <c r="V434" s="27">
        <f t="shared" si="385"/>
        <v>0.26616068392445486</v>
      </c>
      <c r="W434" s="11"/>
      <c r="X434" s="11"/>
      <c r="Y434" s="11"/>
      <c r="Z434" s="11"/>
      <c r="AA434" s="20" t="s">
        <v>118</v>
      </c>
      <c r="AB434" s="88"/>
      <c r="AC434" s="88"/>
      <c r="AD434" s="22"/>
      <c r="AE434" s="88"/>
    </row>
    <row r="435" spans="1:31" ht="37.5" hidden="1">
      <c r="A435" s="56"/>
      <c r="B435" s="48"/>
      <c r="C435" s="59" t="s">
        <v>760</v>
      </c>
      <c r="D435" s="59" t="s">
        <v>754</v>
      </c>
      <c r="E435" s="20" t="s">
        <v>755</v>
      </c>
      <c r="F435" s="51">
        <v>1866992000</v>
      </c>
      <c r="G435" s="51"/>
      <c r="H435" s="59"/>
      <c r="I435" s="20" t="s">
        <v>756</v>
      </c>
      <c r="J435" s="51">
        <v>2228621067</v>
      </c>
      <c r="K435" s="61">
        <v>1</v>
      </c>
      <c r="L435" s="41">
        <v>280938890</v>
      </c>
      <c r="M435" s="20">
        <v>1</v>
      </c>
      <c r="N435" s="64">
        <v>329190511</v>
      </c>
      <c r="O435" s="86"/>
      <c r="P435" s="86"/>
      <c r="Q435" s="20"/>
      <c r="R435" s="80"/>
      <c r="S435" s="62">
        <f t="shared" si="383"/>
        <v>1</v>
      </c>
      <c r="T435" s="18">
        <f t="shared" si="384"/>
        <v>610129401</v>
      </c>
      <c r="U435" s="27">
        <v>1</v>
      </c>
      <c r="V435" s="27">
        <f t="shared" si="385"/>
        <v>0.27376991541290135</v>
      </c>
      <c r="W435" s="11"/>
      <c r="X435" s="11"/>
      <c r="Y435" s="11"/>
      <c r="Z435" s="11"/>
      <c r="AA435" s="20" t="s">
        <v>121</v>
      </c>
      <c r="AB435" s="88"/>
      <c r="AC435" s="22"/>
      <c r="AD435" s="22"/>
      <c r="AE435" s="88"/>
    </row>
    <row r="436" spans="1:31" ht="37.5" hidden="1">
      <c r="A436" s="56"/>
      <c r="B436" s="48"/>
      <c r="C436" s="59" t="s">
        <v>761</v>
      </c>
      <c r="D436" s="59" t="s">
        <v>754</v>
      </c>
      <c r="E436" s="20" t="s">
        <v>755</v>
      </c>
      <c r="F436" s="51">
        <v>1746360000</v>
      </c>
      <c r="G436" s="59"/>
      <c r="H436" s="59"/>
      <c r="I436" s="20" t="s">
        <v>756</v>
      </c>
      <c r="J436" s="51">
        <v>2334084201</v>
      </c>
      <c r="K436" s="61">
        <v>1</v>
      </c>
      <c r="L436" s="41">
        <v>213346548.56999999</v>
      </c>
      <c r="M436" s="20">
        <v>1</v>
      </c>
      <c r="N436" s="64">
        <v>428399915.56999999</v>
      </c>
      <c r="O436" s="86"/>
      <c r="P436" s="86"/>
      <c r="Q436" s="20"/>
      <c r="R436" s="80"/>
      <c r="S436" s="62">
        <f t="shared" si="383"/>
        <v>1</v>
      </c>
      <c r="T436" s="18">
        <f t="shared" si="384"/>
        <v>641746464.13999999</v>
      </c>
      <c r="U436" s="27">
        <v>1</v>
      </c>
      <c r="V436" s="27">
        <f t="shared" si="385"/>
        <v>0.27494572126620548</v>
      </c>
      <c r="W436" s="11"/>
      <c r="X436" s="11"/>
      <c r="Y436" s="11"/>
      <c r="Z436" s="11"/>
      <c r="AA436" s="20" t="s">
        <v>124</v>
      </c>
      <c r="AB436" s="88"/>
      <c r="AC436" s="88"/>
      <c r="AD436" s="22"/>
      <c r="AE436" s="88"/>
    </row>
    <row r="437" spans="1:31" ht="50" hidden="1">
      <c r="A437" s="56"/>
      <c r="B437" s="48"/>
      <c r="C437" s="59" t="s">
        <v>762</v>
      </c>
      <c r="D437" s="59" t="s">
        <v>754</v>
      </c>
      <c r="E437" s="20" t="s">
        <v>755</v>
      </c>
      <c r="F437" s="51">
        <v>1408198000</v>
      </c>
      <c r="G437" s="59"/>
      <c r="H437" s="59"/>
      <c r="I437" s="20" t="s">
        <v>756</v>
      </c>
      <c r="J437" s="51">
        <v>1314266023</v>
      </c>
      <c r="K437" s="61">
        <v>1</v>
      </c>
      <c r="L437" s="79">
        <v>205556880</v>
      </c>
      <c r="M437" s="20">
        <v>1</v>
      </c>
      <c r="N437" s="64">
        <v>201301810</v>
      </c>
      <c r="O437" s="86"/>
      <c r="P437" s="86"/>
      <c r="Q437" s="20"/>
      <c r="R437" s="80"/>
      <c r="S437" s="62">
        <f t="shared" si="383"/>
        <v>1</v>
      </c>
      <c r="T437" s="18">
        <f t="shared" si="384"/>
        <v>406858690</v>
      </c>
      <c r="U437" s="27">
        <v>1</v>
      </c>
      <c r="V437" s="27">
        <f t="shared" si="385"/>
        <v>0.30957103271321501</v>
      </c>
      <c r="W437" s="11"/>
      <c r="X437" s="11"/>
      <c r="Y437" s="11"/>
      <c r="Z437" s="11"/>
      <c r="AA437" s="20" t="s">
        <v>127</v>
      </c>
      <c r="AB437" s="88"/>
      <c r="AC437" s="88"/>
      <c r="AD437" s="22"/>
      <c r="AE437" s="88"/>
    </row>
    <row r="438" spans="1:31" ht="37.5">
      <c r="A438" s="56"/>
      <c r="B438" s="48"/>
      <c r="C438" s="59" t="s">
        <v>763</v>
      </c>
      <c r="D438" s="59" t="s">
        <v>754</v>
      </c>
      <c r="E438" s="109" t="s">
        <v>755</v>
      </c>
      <c r="F438" s="51">
        <v>1736480000</v>
      </c>
      <c r="G438" s="59"/>
      <c r="H438" s="59"/>
      <c r="I438" s="109" t="s">
        <v>756</v>
      </c>
      <c r="J438" s="51">
        <v>2057589187</v>
      </c>
      <c r="K438" s="61">
        <v>1</v>
      </c>
      <c r="L438" s="41">
        <v>385437334</v>
      </c>
      <c r="M438" s="20">
        <v>1</v>
      </c>
      <c r="N438" s="64">
        <v>472942178</v>
      </c>
      <c r="O438" s="86">
        <v>1</v>
      </c>
      <c r="P438" s="86">
        <v>418768442</v>
      </c>
      <c r="Q438" s="20">
        <v>1</v>
      </c>
      <c r="R438" s="80">
        <v>757965642</v>
      </c>
      <c r="S438" s="87">
        <f t="shared" si="383"/>
        <v>1</v>
      </c>
      <c r="T438" s="18">
        <f t="shared" si="384"/>
        <v>2035113596</v>
      </c>
      <c r="U438" s="27">
        <v>1</v>
      </c>
      <c r="V438" s="27">
        <f t="shared" si="385"/>
        <v>0.98907673546206287</v>
      </c>
      <c r="W438" s="11"/>
      <c r="X438" s="11"/>
      <c r="Y438" s="11"/>
      <c r="Z438" s="11"/>
      <c r="AA438" s="20" t="s">
        <v>130</v>
      </c>
      <c r="AB438" s="88"/>
      <c r="AC438" s="88"/>
      <c r="AD438" s="22"/>
      <c r="AE438" s="88"/>
    </row>
    <row r="439" spans="1:31" ht="15.75" hidden="1" customHeight="1">
      <c r="A439" s="56"/>
      <c r="B439" s="48"/>
      <c r="C439" s="59" t="s">
        <v>764</v>
      </c>
      <c r="D439" s="59" t="s">
        <v>754</v>
      </c>
      <c r="E439" s="20" t="s">
        <v>755</v>
      </c>
      <c r="F439" s="51">
        <v>4205550000</v>
      </c>
      <c r="G439" s="59"/>
      <c r="H439" s="59"/>
      <c r="I439" s="20" t="s">
        <v>756</v>
      </c>
      <c r="J439" s="51">
        <v>4136934139</v>
      </c>
      <c r="K439" s="61">
        <v>1</v>
      </c>
      <c r="L439" s="41">
        <v>380754754</v>
      </c>
      <c r="M439" s="61">
        <v>1</v>
      </c>
      <c r="N439" s="82">
        <v>455131357</v>
      </c>
      <c r="O439" s="89"/>
      <c r="P439" s="86"/>
      <c r="Q439" s="20"/>
      <c r="R439" s="80"/>
      <c r="S439" s="119">
        <f t="shared" si="383"/>
        <v>1</v>
      </c>
      <c r="T439" s="18">
        <f t="shared" si="384"/>
        <v>835886111</v>
      </c>
      <c r="U439" s="27">
        <v>1</v>
      </c>
      <c r="V439" s="27">
        <f t="shared" si="385"/>
        <v>0.20205448839996629</v>
      </c>
      <c r="W439" s="11"/>
      <c r="X439" s="11"/>
      <c r="Y439" s="11"/>
      <c r="Z439" s="11"/>
      <c r="AA439" s="20" t="s">
        <v>133</v>
      </c>
      <c r="AB439" s="88"/>
      <c r="AC439" s="88"/>
      <c r="AD439" s="45"/>
      <c r="AE439" s="88"/>
    </row>
    <row r="440" spans="1:31" ht="15.75" hidden="1" customHeight="1">
      <c r="A440" s="56"/>
      <c r="B440" s="48"/>
      <c r="C440" s="59" t="s">
        <v>765</v>
      </c>
      <c r="D440" s="59" t="s">
        <v>754</v>
      </c>
      <c r="E440" s="20" t="s">
        <v>755</v>
      </c>
      <c r="F440" s="51">
        <v>2303907421</v>
      </c>
      <c r="G440" s="59"/>
      <c r="H440" s="59"/>
      <c r="I440" s="20" t="s">
        <v>756</v>
      </c>
      <c r="J440" s="51">
        <v>2180818187</v>
      </c>
      <c r="K440" s="61">
        <v>1</v>
      </c>
      <c r="L440" s="41">
        <v>306390455</v>
      </c>
      <c r="M440" s="61">
        <v>1</v>
      </c>
      <c r="N440" s="82">
        <v>373679648</v>
      </c>
      <c r="O440" s="89"/>
      <c r="P440" s="86"/>
      <c r="Q440" s="20"/>
      <c r="R440" s="80"/>
      <c r="S440" s="119">
        <f t="shared" si="383"/>
        <v>1</v>
      </c>
      <c r="T440" s="18">
        <f t="shared" si="384"/>
        <v>680070103</v>
      </c>
      <c r="U440" s="27">
        <v>1</v>
      </c>
      <c r="V440" s="27">
        <f t="shared" si="385"/>
        <v>0.31184172392450799</v>
      </c>
      <c r="W440" s="11"/>
      <c r="X440" s="11"/>
      <c r="Y440" s="11"/>
      <c r="Z440" s="11"/>
      <c r="AA440" s="20" t="s">
        <v>136</v>
      </c>
      <c r="AB440" s="88"/>
      <c r="AC440" s="88"/>
      <c r="AD440" s="22"/>
      <c r="AE440" s="88"/>
    </row>
    <row r="441" spans="1:31" ht="15.75" hidden="1" customHeight="1">
      <c r="A441" s="56"/>
      <c r="B441" s="48"/>
      <c r="C441" s="59" t="s">
        <v>766</v>
      </c>
      <c r="D441" s="59" t="s">
        <v>754</v>
      </c>
      <c r="E441" s="20" t="s">
        <v>755</v>
      </c>
      <c r="F441" s="51">
        <v>2693952000</v>
      </c>
      <c r="G441" s="59"/>
      <c r="H441" s="59"/>
      <c r="I441" s="20" t="s">
        <v>756</v>
      </c>
      <c r="J441" s="51">
        <v>2027755922</v>
      </c>
      <c r="K441" s="61">
        <v>1</v>
      </c>
      <c r="L441" s="41">
        <v>357115050</v>
      </c>
      <c r="M441" s="61">
        <v>1</v>
      </c>
      <c r="N441" s="82">
        <v>311078850</v>
      </c>
      <c r="O441" s="89"/>
      <c r="P441" s="86"/>
      <c r="Q441" s="20"/>
      <c r="R441" s="80"/>
      <c r="S441" s="119">
        <f t="shared" si="383"/>
        <v>1</v>
      </c>
      <c r="T441" s="18">
        <f t="shared" si="384"/>
        <v>668193900</v>
      </c>
      <c r="U441" s="27">
        <v>1</v>
      </c>
      <c r="V441" s="27">
        <f t="shared" si="385"/>
        <v>0.32952383112310302</v>
      </c>
      <c r="W441" s="11"/>
      <c r="X441" s="11"/>
      <c r="Y441" s="11"/>
      <c r="Z441" s="11"/>
      <c r="AA441" s="20" t="s">
        <v>139</v>
      </c>
      <c r="AB441" s="88"/>
      <c r="AC441" s="88"/>
      <c r="AD441" s="22"/>
      <c r="AE441" s="88"/>
    </row>
    <row r="442" spans="1:31" ht="15.75" hidden="1" customHeight="1">
      <c r="A442" s="56"/>
      <c r="B442" s="48"/>
      <c r="C442" s="59" t="s">
        <v>767</v>
      </c>
      <c r="D442" s="59" t="s">
        <v>754</v>
      </c>
      <c r="E442" s="20" t="s">
        <v>755</v>
      </c>
      <c r="F442" s="51">
        <v>2813694328</v>
      </c>
      <c r="G442" s="59"/>
      <c r="H442" s="59"/>
      <c r="I442" s="20" t="s">
        <v>756</v>
      </c>
      <c r="J442" s="51">
        <v>2626515970</v>
      </c>
      <c r="K442" s="61">
        <v>1</v>
      </c>
      <c r="L442" s="41">
        <v>305635712</v>
      </c>
      <c r="M442" s="61">
        <v>1</v>
      </c>
      <c r="N442" s="82">
        <v>413746893</v>
      </c>
      <c r="O442" s="89"/>
      <c r="P442" s="86"/>
      <c r="Q442" s="20"/>
      <c r="R442" s="80"/>
      <c r="S442" s="119">
        <f t="shared" si="383"/>
        <v>1</v>
      </c>
      <c r="T442" s="18">
        <f t="shared" si="384"/>
        <v>719382605</v>
      </c>
      <c r="U442" s="27">
        <v>1</v>
      </c>
      <c r="V442" s="27">
        <f t="shared" si="385"/>
        <v>0.2738923399730937</v>
      </c>
      <c r="W442" s="11"/>
      <c r="X442" s="11"/>
      <c r="Y442" s="11"/>
      <c r="Z442" s="11"/>
      <c r="AA442" s="20" t="s">
        <v>142</v>
      </c>
      <c r="AB442" s="88"/>
      <c r="AC442" s="88"/>
      <c r="AD442" s="22"/>
      <c r="AE442" s="88"/>
    </row>
    <row r="443" spans="1:31" ht="15.75" hidden="1" customHeight="1">
      <c r="A443" s="56"/>
      <c r="B443" s="48"/>
      <c r="C443" s="59" t="s">
        <v>768</v>
      </c>
      <c r="D443" s="59" t="s">
        <v>754</v>
      </c>
      <c r="E443" s="20" t="s">
        <v>755</v>
      </c>
      <c r="F443" s="51">
        <v>1994004000</v>
      </c>
      <c r="G443" s="59"/>
      <c r="H443" s="59"/>
      <c r="I443" s="20" t="s">
        <v>756</v>
      </c>
      <c r="J443" s="51">
        <v>2208507309</v>
      </c>
      <c r="K443" s="61">
        <v>1</v>
      </c>
      <c r="L443" s="41">
        <v>314240891</v>
      </c>
      <c r="M443" s="61">
        <v>1</v>
      </c>
      <c r="N443" s="82">
        <v>334258323</v>
      </c>
      <c r="O443" s="89"/>
      <c r="P443" s="86"/>
      <c r="Q443" s="20"/>
      <c r="R443" s="80"/>
      <c r="S443" s="119">
        <f t="shared" si="383"/>
        <v>1</v>
      </c>
      <c r="T443" s="18">
        <f t="shared" si="384"/>
        <v>648499214</v>
      </c>
      <c r="U443" s="27">
        <v>1</v>
      </c>
      <c r="V443" s="27">
        <f t="shared" si="385"/>
        <v>0.29363688829883788</v>
      </c>
      <c r="W443" s="11"/>
      <c r="X443" s="11"/>
      <c r="Y443" s="11"/>
      <c r="Z443" s="11"/>
      <c r="AA443" s="20" t="s">
        <v>145</v>
      </c>
      <c r="AB443" s="88"/>
      <c r="AC443" s="88"/>
      <c r="AD443" s="22"/>
      <c r="AE443" s="88"/>
    </row>
    <row r="444" spans="1:31" ht="15.75" hidden="1" customHeight="1">
      <c r="A444" s="56"/>
      <c r="B444" s="48"/>
      <c r="C444" s="59" t="s">
        <v>769</v>
      </c>
      <c r="D444" s="59" t="s">
        <v>754</v>
      </c>
      <c r="E444" s="20" t="s">
        <v>755</v>
      </c>
      <c r="F444" s="51">
        <v>2280000000</v>
      </c>
      <c r="G444" s="59"/>
      <c r="H444" s="59"/>
      <c r="I444" s="20" t="s">
        <v>756</v>
      </c>
      <c r="J444" s="51">
        <v>2528154123</v>
      </c>
      <c r="K444" s="61">
        <v>1</v>
      </c>
      <c r="L444" s="41">
        <v>347926129</v>
      </c>
      <c r="M444" s="61">
        <v>1</v>
      </c>
      <c r="N444" s="82">
        <v>367716065</v>
      </c>
      <c r="O444" s="89"/>
      <c r="P444" s="86"/>
      <c r="Q444" s="20"/>
      <c r="R444" s="80"/>
      <c r="S444" s="119">
        <f t="shared" si="383"/>
        <v>1</v>
      </c>
      <c r="T444" s="18">
        <f t="shared" si="384"/>
        <v>715642194</v>
      </c>
      <c r="U444" s="27">
        <v>1</v>
      </c>
      <c r="V444" s="27">
        <f t="shared" si="385"/>
        <v>0.2830690532232239</v>
      </c>
      <c r="W444" s="11"/>
      <c r="X444" s="11"/>
      <c r="Y444" s="11"/>
      <c r="Z444" s="11"/>
      <c r="AA444" s="20" t="s">
        <v>148</v>
      </c>
      <c r="AB444" s="88"/>
      <c r="AC444" s="88"/>
      <c r="AD444" s="22"/>
      <c r="AE444" s="88"/>
    </row>
    <row r="445" spans="1:31" ht="15.75" hidden="1" customHeight="1">
      <c r="A445" s="56"/>
      <c r="B445" s="48"/>
      <c r="C445" s="59" t="s">
        <v>770</v>
      </c>
      <c r="D445" s="59" t="s">
        <v>754</v>
      </c>
      <c r="E445" s="20" t="s">
        <v>755</v>
      </c>
      <c r="F445" s="51">
        <v>1841374612</v>
      </c>
      <c r="G445" s="59"/>
      <c r="H445" s="59"/>
      <c r="I445" s="20" t="s">
        <v>756</v>
      </c>
      <c r="J445" s="51">
        <v>1850996723</v>
      </c>
      <c r="K445" s="61">
        <v>1</v>
      </c>
      <c r="L445" s="41">
        <v>194402855</v>
      </c>
      <c r="M445" s="61">
        <v>1</v>
      </c>
      <c r="N445" s="82">
        <v>393570654</v>
      </c>
      <c r="O445" s="89"/>
      <c r="P445" s="86"/>
      <c r="Q445" s="20"/>
      <c r="R445" s="80"/>
      <c r="S445" s="119">
        <f t="shared" si="383"/>
        <v>1</v>
      </c>
      <c r="T445" s="18">
        <f t="shared" si="384"/>
        <v>587973509</v>
      </c>
      <c r="U445" s="27">
        <v>1</v>
      </c>
      <c r="V445" s="27">
        <f t="shared" si="385"/>
        <v>0.3176523770647432</v>
      </c>
      <c r="W445" s="11"/>
      <c r="X445" s="11"/>
      <c r="Y445" s="11"/>
      <c r="Z445" s="11"/>
      <c r="AA445" s="20" t="s">
        <v>151</v>
      </c>
      <c r="AB445" s="88"/>
      <c r="AC445" s="88"/>
      <c r="AD445" s="22"/>
      <c r="AE445" s="88"/>
    </row>
    <row r="446" spans="1:31" ht="15.75" hidden="1" customHeight="1">
      <c r="A446" s="56"/>
      <c r="B446" s="48"/>
      <c r="C446" s="59" t="s">
        <v>771</v>
      </c>
      <c r="D446" s="59" t="s">
        <v>754</v>
      </c>
      <c r="E446" s="20" t="s">
        <v>755</v>
      </c>
      <c r="F446" s="51">
        <v>1565000000</v>
      </c>
      <c r="G446" s="59"/>
      <c r="H446" s="59"/>
      <c r="I446" s="20" t="s">
        <v>756</v>
      </c>
      <c r="J446" s="51">
        <v>1848653461</v>
      </c>
      <c r="K446" s="61">
        <v>1</v>
      </c>
      <c r="L446" s="41">
        <v>208738961</v>
      </c>
      <c r="M446" s="61">
        <v>1</v>
      </c>
      <c r="N446" s="82">
        <v>318985883</v>
      </c>
      <c r="O446" s="89"/>
      <c r="P446" s="86"/>
      <c r="Q446" s="20"/>
      <c r="R446" s="80"/>
      <c r="S446" s="119">
        <f t="shared" si="383"/>
        <v>1</v>
      </c>
      <c r="T446" s="18">
        <f t="shared" si="384"/>
        <v>527724844</v>
      </c>
      <c r="U446" s="27">
        <v>1</v>
      </c>
      <c r="V446" s="27">
        <f t="shared" si="385"/>
        <v>0.28546445027860201</v>
      </c>
      <c r="W446" s="11"/>
      <c r="X446" s="11"/>
      <c r="Y446" s="11"/>
      <c r="Z446" s="11"/>
      <c r="AA446" s="20" t="s">
        <v>154</v>
      </c>
      <c r="AB446" s="88"/>
      <c r="AC446" s="88"/>
      <c r="AD446" s="22"/>
      <c r="AE446" s="88"/>
    </row>
    <row r="447" spans="1:31" ht="15.75" hidden="1" customHeight="1">
      <c r="A447" s="56"/>
      <c r="B447" s="48"/>
      <c r="C447" s="59" t="s">
        <v>772</v>
      </c>
      <c r="D447" s="59" t="s">
        <v>754</v>
      </c>
      <c r="E447" s="20" t="s">
        <v>755</v>
      </c>
      <c r="F447" s="51">
        <v>1687620000</v>
      </c>
      <c r="G447" s="59"/>
      <c r="H447" s="59"/>
      <c r="I447" s="20" t="s">
        <v>756</v>
      </c>
      <c r="J447" s="51">
        <v>1573412882</v>
      </c>
      <c r="K447" s="61">
        <v>1</v>
      </c>
      <c r="L447" s="41">
        <v>184069223</v>
      </c>
      <c r="M447" s="61">
        <v>1</v>
      </c>
      <c r="N447" s="82">
        <v>275109796</v>
      </c>
      <c r="O447" s="89"/>
      <c r="P447" s="86"/>
      <c r="Q447" s="20"/>
      <c r="R447" s="80"/>
      <c r="S447" s="119">
        <f t="shared" si="383"/>
        <v>1</v>
      </c>
      <c r="T447" s="18">
        <f t="shared" si="384"/>
        <v>459179019</v>
      </c>
      <c r="U447" s="27">
        <v>1</v>
      </c>
      <c r="V447" s="27">
        <f t="shared" si="385"/>
        <v>0.29183631598104587</v>
      </c>
      <c r="W447" s="11"/>
      <c r="X447" s="11"/>
      <c r="Y447" s="11"/>
      <c r="Z447" s="11"/>
      <c r="AA447" s="20" t="s">
        <v>157</v>
      </c>
      <c r="AB447" s="88"/>
      <c r="AC447" s="88"/>
      <c r="AD447" s="22"/>
      <c r="AE447" s="88"/>
    </row>
    <row r="448" spans="1:31" ht="22.5" customHeight="1">
      <c r="A448" s="176" t="s">
        <v>773</v>
      </c>
      <c r="B448" s="166"/>
      <c r="C448" s="166"/>
      <c r="D448" s="166"/>
      <c r="E448" s="166"/>
      <c r="F448" s="166"/>
      <c r="G448" s="166"/>
      <c r="H448" s="166"/>
      <c r="I448" s="166"/>
      <c r="J448" s="157"/>
      <c r="K448" s="20"/>
      <c r="L448" s="41"/>
      <c r="M448" s="20"/>
      <c r="N448" s="82"/>
      <c r="O448" s="89"/>
      <c r="P448" s="86"/>
      <c r="Q448" s="20"/>
      <c r="R448" s="80"/>
      <c r="S448" s="61"/>
      <c r="T448" s="18"/>
      <c r="U448" s="27">
        <f t="shared" ref="U448:V448" si="386">AVERAGE(U403:U447)</f>
        <v>0.86822605965463096</v>
      </c>
      <c r="V448" s="27">
        <f t="shared" si="386"/>
        <v>0.48863814739505163</v>
      </c>
      <c r="W448" s="120"/>
      <c r="X448" s="121"/>
      <c r="Y448" s="121"/>
      <c r="Z448" s="121"/>
      <c r="AA448" s="61"/>
      <c r="AB448" s="88"/>
      <c r="AC448" s="88"/>
      <c r="AD448" s="22"/>
      <c r="AE448" s="88"/>
    </row>
    <row r="449" spans="1:31" ht="29.25" customHeight="1">
      <c r="A449" s="176" t="s">
        <v>774</v>
      </c>
      <c r="B449" s="166"/>
      <c r="C449" s="166"/>
      <c r="D449" s="166"/>
      <c r="E449" s="166"/>
      <c r="F449" s="166"/>
      <c r="G449" s="166"/>
      <c r="H449" s="166"/>
      <c r="I449" s="166"/>
      <c r="J449" s="157"/>
      <c r="K449" s="20"/>
      <c r="L449" s="41"/>
      <c r="M449" s="20"/>
      <c r="N449" s="82"/>
      <c r="O449" s="20"/>
      <c r="P449" s="80"/>
      <c r="Q449" s="20"/>
      <c r="R449" s="80"/>
      <c r="S449" s="61"/>
      <c r="T449" s="13"/>
      <c r="U449" s="27"/>
      <c r="V449" s="27"/>
      <c r="W449" s="120"/>
      <c r="X449" s="121"/>
      <c r="Y449" s="121"/>
      <c r="Z449" s="121"/>
      <c r="AA449" s="61"/>
      <c r="AB449" s="88"/>
      <c r="AC449" s="88"/>
      <c r="AD449" s="22"/>
      <c r="AE449" s="88"/>
    </row>
    <row r="450" spans="1:31" ht="22.5" customHeight="1">
      <c r="A450" s="173" t="s">
        <v>600</v>
      </c>
      <c r="B450" s="166"/>
      <c r="C450" s="166"/>
      <c r="D450" s="166"/>
      <c r="E450" s="166"/>
      <c r="F450" s="166"/>
      <c r="G450" s="166"/>
      <c r="H450" s="166"/>
      <c r="I450" s="166"/>
      <c r="J450" s="166"/>
      <c r="K450" s="122"/>
      <c r="L450" s="122"/>
      <c r="M450" s="122"/>
      <c r="N450" s="122"/>
      <c r="O450" s="122"/>
      <c r="P450" s="122"/>
      <c r="Q450" s="122"/>
      <c r="R450" s="122"/>
      <c r="S450" s="122"/>
      <c r="T450" s="13"/>
      <c r="U450" s="123">
        <f t="shared" ref="U450:V450" si="387">(U349+U359+U368+U394+U448)/5</f>
        <v>0.37713289689111668</v>
      </c>
      <c r="V450" s="123">
        <f t="shared" si="387"/>
        <v>0.25088321023441668</v>
      </c>
      <c r="W450" s="177"/>
      <c r="X450" s="166"/>
      <c r="Y450" s="166"/>
      <c r="Z450" s="166"/>
      <c r="AA450" s="157"/>
      <c r="AC450" s="70"/>
    </row>
    <row r="451" spans="1:31" ht="30" customHeight="1">
      <c r="A451" s="173" t="s">
        <v>601</v>
      </c>
      <c r="B451" s="166"/>
      <c r="C451" s="166"/>
      <c r="D451" s="166"/>
      <c r="E451" s="166"/>
      <c r="F451" s="166"/>
      <c r="G451" s="166"/>
      <c r="H451" s="166"/>
      <c r="I451" s="166"/>
      <c r="J451" s="166"/>
      <c r="K451" s="122"/>
      <c r="L451" s="122"/>
      <c r="M451" s="122"/>
      <c r="N451" s="122"/>
      <c r="O451" s="122"/>
      <c r="P451" s="122"/>
      <c r="Q451" s="122"/>
      <c r="R451" s="122"/>
      <c r="S451" s="122"/>
      <c r="T451" s="13"/>
      <c r="U451" s="16"/>
      <c r="V451" s="16"/>
      <c r="W451" s="177"/>
      <c r="X451" s="166"/>
      <c r="Y451" s="166"/>
      <c r="Z451" s="166"/>
      <c r="AA451" s="157"/>
    </row>
    <row r="452" spans="1:31" ht="22.5" customHeight="1">
      <c r="A452" s="174" t="s">
        <v>775</v>
      </c>
      <c r="B452" s="166"/>
      <c r="C452" s="166"/>
      <c r="D452" s="166"/>
      <c r="E452" s="166"/>
      <c r="F452" s="166"/>
      <c r="G452" s="166"/>
      <c r="H452" s="166"/>
      <c r="I452" s="166"/>
      <c r="J452" s="166"/>
      <c r="K452" s="166"/>
      <c r="L452" s="166"/>
      <c r="M452" s="166"/>
      <c r="N452" s="166"/>
      <c r="O452" s="166"/>
      <c r="P452" s="166"/>
      <c r="Q452" s="166"/>
      <c r="R452" s="166"/>
      <c r="S452" s="166"/>
      <c r="T452" s="166"/>
      <c r="U452" s="166"/>
      <c r="V452" s="166"/>
      <c r="W452" s="166"/>
      <c r="X452" s="166"/>
      <c r="Y452" s="166"/>
      <c r="Z452" s="166"/>
      <c r="AA452" s="157"/>
    </row>
    <row r="453" spans="1:31" ht="22.5" customHeight="1">
      <c r="A453" s="174" t="s">
        <v>776</v>
      </c>
      <c r="B453" s="166"/>
      <c r="C453" s="166"/>
      <c r="D453" s="166"/>
      <c r="E453" s="166"/>
      <c r="F453" s="166"/>
      <c r="G453" s="166"/>
      <c r="H453" s="166"/>
      <c r="I453" s="166"/>
      <c r="J453" s="166"/>
      <c r="K453" s="166"/>
      <c r="L453" s="166"/>
      <c r="M453" s="166"/>
      <c r="N453" s="166"/>
      <c r="O453" s="166"/>
      <c r="P453" s="166"/>
      <c r="Q453" s="166"/>
      <c r="R453" s="166"/>
      <c r="S453" s="166"/>
      <c r="T453" s="166"/>
      <c r="U453" s="166"/>
      <c r="V453" s="166"/>
      <c r="W453" s="166"/>
      <c r="X453" s="166"/>
      <c r="Y453" s="166"/>
      <c r="Z453" s="166"/>
      <c r="AA453" s="157"/>
      <c r="AC453" s="21"/>
    </row>
    <row r="454" spans="1:31" ht="22.5" customHeight="1">
      <c r="A454" s="174" t="s">
        <v>777</v>
      </c>
      <c r="B454" s="166"/>
      <c r="C454" s="166"/>
      <c r="D454" s="166"/>
      <c r="E454" s="166"/>
      <c r="F454" s="166"/>
      <c r="G454" s="166"/>
      <c r="H454" s="166"/>
      <c r="I454" s="166"/>
      <c r="J454" s="166"/>
      <c r="K454" s="166"/>
      <c r="L454" s="166"/>
      <c r="M454" s="166"/>
      <c r="N454" s="166"/>
      <c r="O454" s="166"/>
      <c r="P454" s="166"/>
      <c r="Q454" s="166"/>
      <c r="R454" s="166"/>
      <c r="S454" s="166"/>
      <c r="T454" s="166"/>
      <c r="U454" s="166"/>
      <c r="V454" s="166"/>
      <c r="W454" s="166"/>
      <c r="X454" s="166"/>
      <c r="Y454" s="166"/>
      <c r="Z454" s="166"/>
      <c r="AA454" s="157"/>
      <c r="AC454" s="70"/>
    </row>
    <row r="455" spans="1:31" ht="22.5" customHeight="1">
      <c r="A455" s="174" t="s">
        <v>778</v>
      </c>
      <c r="B455" s="166"/>
      <c r="C455" s="166"/>
      <c r="D455" s="166"/>
      <c r="E455" s="166"/>
      <c r="F455" s="166"/>
      <c r="G455" s="166"/>
      <c r="H455" s="166"/>
      <c r="I455" s="166"/>
      <c r="J455" s="166"/>
      <c r="K455" s="166"/>
      <c r="L455" s="166"/>
      <c r="M455" s="166"/>
      <c r="N455" s="166"/>
      <c r="O455" s="166"/>
      <c r="P455" s="166"/>
      <c r="Q455" s="166"/>
      <c r="R455" s="166"/>
      <c r="S455" s="166"/>
      <c r="T455" s="166"/>
      <c r="U455" s="166"/>
      <c r="V455" s="166"/>
      <c r="W455" s="166"/>
      <c r="X455" s="166"/>
      <c r="Y455" s="166"/>
      <c r="Z455" s="166"/>
      <c r="AA455" s="157"/>
    </row>
    <row r="456" spans="1:31" ht="22.5" customHeight="1">
      <c r="A456" s="124"/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6"/>
    </row>
    <row r="457" spans="1:31" ht="22.5" customHeight="1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8">
        <f>T69+T86+T105+T127+T151+T169+T187+T206+T226+T244+T258+T276+T302+T318+T335+T384+T438</f>
        <v>2699090777</v>
      </c>
      <c r="U457" s="129"/>
      <c r="V457" s="128">
        <f>T69+T86+T105+T127+T151+T169+T187+T206+T226+T244+T258+T276+T302+T318+T335+T384</f>
        <v>663977181</v>
      </c>
      <c r="W457" s="127"/>
      <c r="X457" s="127"/>
      <c r="Y457" s="127"/>
      <c r="Z457" s="127"/>
      <c r="AA457" s="127"/>
    </row>
    <row r="458" spans="1:31" ht="15.75" customHeight="1"/>
    <row r="459" spans="1:31" ht="15.75" customHeight="1">
      <c r="H459" s="130" t="s">
        <v>779</v>
      </c>
      <c r="S459" s="175" t="s">
        <v>780</v>
      </c>
      <c r="T459" s="159"/>
      <c r="U459" s="169"/>
    </row>
    <row r="460" spans="1:31" ht="15.75" customHeight="1">
      <c r="H460" s="130" t="s">
        <v>781</v>
      </c>
      <c r="S460" s="175" t="s">
        <v>781</v>
      </c>
      <c r="T460" s="159"/>
      <c r="U460" s="169"/>
    </row>
    <row r="461" spans="1:31" ht="15.75" customHeight="1">
      <c r="H461" s="130" t="s">
        <v>782</v>
      </c>
      <c r="T461" s="131" t="s">
        <v>783</v>
      </c>
    </row>
    <row r="462" spans="1:31" ht="15.75" customHeight="1">
      <c r="H462" s="130" t="s">
        <v>784</v>
      </c>
      <c r="S462" s="175" t="s">
        <v>785</v>
      </c>
      <c r="T462" s="159"/>
      <c r="U462" s="169"/>
    </row>
    <row r="463" spans="1:31" ht="15.75" customHeight="1">
      <c r="I463" s="132"/>
      <c r="U463" s="133"/>
    </row>
    <row r="464" spans="1:31" ht="15.75" customHeight="1">
      <c r="I464" s="132"/>
      <c r="U464" s="133"/>
    </row>
    <row r="465" spans="7:29" ht="15.75" customHeight="1">
      <c r="I465" s="132"/>
      <c r="U465" s="133"/>
    </row>
    <row r="466" spans="7:29" ht="15.75" customHeight="1">
      <c r="G466" s="134"/>
      <c r="I466" s="135"/>
      <c r="S466" s="168" t="s">
        <v>786</v>
      </c>
      <c r="T466" s="159"/>
      <c r="U466" s="169"/>
    </row>
    <row r="467" spans="7:29" ht="15.75" customHeight="1">
      <c r="G467" s="136"/>
      <c r="I467" s="135"/>
      <c r="S467" s="170" t="s">
        <v>787</v>
      </c>
      <c r="T467" s="159"/>
      <c r="U467" s="169"/>
    </row>
    <row r="468" spans="7:29" ht="15.75" customHeight="1">
      <c r="G468" s="136"/>
      <c r="I468" s="135"/>
      <c r="S468" s="170" t="s">
        <v>788</v>
      </c>
      <c r="T468" s="159"/>
      <c r="U468" s="169"/>
    </row>
    <row r="469" spans="7:29" ht="15.75" customHeight="1"/>
    <row r="470" spans="7:29" ht="15.75" customHeight="1"/>
    <row r="471" spans="7:29" ht="15.75" customHeight="1"/>
    <row r="472" spans="7:29" ht="15.75" customHeight="1"/>
    <row r="473" spans="7:29" ht="15.75" customHeight="1">
      <c r="J473" s="137"/>
      <c r="L473" s="138"/>
      <c r="M473" s="138"/>
      <c r="N473" s="138"/>
      <c r="O473" s="138"/>
      <c r="P473" s="138"/>
      <c r="Q473" s="138"/>
      <c r="R473" s="138"/>
      <c r="S473" s="138"/>
      <c r="T473" s="171"/>
      <c r="U473" s="172"/>
      <c r="AB473" s="98">
        <f t="shared" ref="AB473:AC473" si="388">SUM(AB13:AB397)</f>
        <v>440956230070</v>
      </c>
      <c r="AC473" s="98">
        <f t="shared" si="388"/>
        <v>251775820383.14001</v>
      </c>
    </row>
    <row r="474" spans="7:29" ht="15.75" customHeight="1">
      <c r="J474" s="139"/>
      <c r="L474" s="22"/>
      <c r="U474" s="44"/>
    </row>
    <row r="475" spans="7:29" ht="15.75" customHeight="1">
      <c r="J475" s="140"/>
      <c r="L475" s="22"/>
    </row>
    <row r="476" spans="7:29" ht="15.75" customHeight="1">
      <c r="L476" s="22"/>
    </row>
    <row r="477" spans="7:29" ht="15.75" customHeight="1"/>
    <row r="478" spans="7:29" ht="15.75" customHeight="1"/>
    <row r="479" spans="7:29" ht="15.75" customHeight="1"/>
    <row r="480" spans="7:29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B29:B30"/>
    <mergeCell ref="B349:J349"/>
    <mergeCell ref="B350:J350"/>
    <mergeCell ref="B359:J359"/>
    <mergeCell ref="B360:J360"/>
    <mergeCell ref="B368:J368"/>
    <mergeCell ref="B369:J369"/>
    <mergeCell ref="B394:J394"/>
    <mergeCell ref="B395:J395"/>
    <mergeCell ref="A448:J448"/>
    <mergeCell ref="A449:J449"/>
    <mergeCell ref="A450:J450"/>
    <mergeCell ref="W450:AA450"/>
    <mergeCell ref="W451:AA451"/>
    <mergeCell ref="S462:U462"/>
    <mergeCell ref="S466:U466"/>
    <mergeCell ref="S467:U467"/>
    <mergeCell ref="S468:U468"/>
    <mergeCell ref="T473:U473"/>
    <mergeCell ref="A451:J451"/>
    <mergeCell ref="A452:AA452"/>
    <mergeCell ref="A453:AA453"/>
    <mergeCell ref="A454:AA454"/>
    <mergeCell ref="A455:AA455"/>
    <mergeCell ref="S459:U459"/>
    <mergeCell ref="S460:U460"/>
    <mergeCell ref="AA11:AA12"/>
    <mergeCell ref="K9:R9"/>
    <mergeCell ref="S9:T10"/>
    <mergeCell ref="K10:L10"/>
    <mergeCell ref="M10:N10"/>
    <mergeCell ref="O10:P10"/>
    <mergeCell ref="Q10:R10"/>
    <mergeCell ref="A2:AA2"/>
    <mergeCell ref="A3:AA3"/>
    <mergeCell ref="A4:AA4"/>
    <mergeCell ref="A5:AA5"/>
    <mergeCell ref="A9:A10"/>
    <mergeCell ref="B9:B10"/>
    <mergeCell ref="C9:C10"/>
    <mergeCell ref="G9:H10"/>
    <mergeCell ref="I9:J10"/>
    <mergeCell ref="D9:D10"/>
    <mergeCell ref="E9:F10"/>
    <mergeCell ref="U9:V10"/>
    <mergeCell ref="W9:X10"/>
    <mergeCell ref="Y9:Z10"/>
    <mergeCell ref="AA9:AA10"/>
    <mergeCell ref="Q11:R11"/>
    <mergeCell ref="S11:T11"/>
    <mergeCell ref="U11:V11"/>
    <mergeCell ref="W11:X11"/>
    <mergeCell ref="Y11:Z11"/>
    <mergeCell ref="G11:H11"/>
    <mergeCell ref="I11:J11"/>
    <mergeCell ref="K11:L11"/>
    <mergeCell ref="M11:N11"/>
    <mergeCell ref="O11:P11"/>
    <mergeCell ref="A11:A12"/>
    <mergeCell ref="B11:B12"/>
    <mergeCell ref="C11:C12"/>
    <mergeCell ref="D11:D12"/>
    <mergeCell ref="E11:F11"/>
  </mergeCells>
  <pageMargins left="0.7" right="0.7" top="0.75" bottom="0.75" header="0" footer="0"/>
  <pageSetup paperSize="1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E1000"/>
  <sheetViews>
    <sheetView workbookViewId="0"/>
  </sheetViews>
  <sheetFormatPr defaultColWidth="14.453125" defaultRowHeight="15" customHeight="1"/>
  <cols>
    <col min="1" max="1" width="8.7265625" customWidth="1"/>
    <col min="2" max="2" width="73.54296875" customWidth="1"/>
    <col min="3" max="3" width="20.453125" customWidth="1"/>
    <col min="4" max="4" width="22.81640625" customWidth="1"/>
    <col min="5" max="5" width="14.26953125" customWidth="1"/>
    <col min="6" max="26" width="8.7265625" customWidth="1"/>
  </cols>
  <sheetData>
    <row r="2" spans="1:5" ht="14.5">
      <c r="B2" s="141" t="s">
        <v>789</v>
      </c>
      <c r="C2" s="141" t="s">
        <v>790</v>
      </c>
      <c r="D2" s="141" t="s">
        <v>791</v>
      </c>
      <c r="E2" s="141" t="s">
        <v>792</v>
      </c>
    </row>
    <row r="3" spans="1:5" ht="14.5">
      <c r="A3" s="142">
        <v>1</v>
      </c>
      <c r="B3" s="143" t="str">
        <f>'trib 4'!C15</f>
        <v>Program Pemenuhan Upaya Kesehatan Perorangan Dan Upaya Kesehatan Masyarakat</v>
      </c>
      <c r="C3" s="21">
        <f>'trib 4'!AB13</f>
        <v>218147859274</v>
      </c>
      <c r="D3" s="21">
        <f>'trib 4'!AC13</f>
        <v>124727483566</v>
      </c>
      <c r="E3" s="144">
        <f t="shared" ref="E3:E7" si="0">D3/C3</f>
        <v>0.57175662406725103</v>
      </c>
    </row>
    <row r="4" spans="1:5" ht="14.5">
      <c r="A4" s="142">
        <v>2</v>
      </c>
      <c r="B4" s="145" t="str">
        <f>'trib 4'!C351</f>
        <v>Program Peningkatan Kapasitas Sumber Daya Manusia Kesehatan</v>
      </c>
      <c r="C4" s="146">
        <f>'trib 4'!AB351</f>
        <v>849795400</v>
      </c>
      <c r="D4" s="146">
        <f>'trib 4'!AC351</f>
        <v>615090000</v>
      </c>
      <c r="E4" s="144">
        <f t="shared" si="0"/>
        <v>0.72380951932665205</v>
      </c>
    </row>
    <row r="5" spans="1:5" ht="14.5">
      <c r="A5" s="142">
        <v>3</v>
      </c>
      <c r="B5" s="145" t="str">
        <f>'trib 4'!C361</f>
        <v>Program Sediaan Farmasi, Alat Kesehatan Dan Makanan Minuman</v>
      </c>
      <c r="C5" s="146">
        <f>'trib 4'!AB361</f>
        <v>749154000</v>
      </c>
      <c r="D5" s="146">
        <f>'trib 4'!AC361</f>
        <v>24540000</v>
      </c>
      <c r="E5" s="144">
        <f t="shared" si="0"/>
        <v>3.2756949839418861E-2</v>
      </c>
    </row>
    <row r="6" spans="1:5" ht="14.5">
      <c r="A6" s="142">
        <v>4</v>
      </c>
      <c r="B6" s="145" t="str">
        <f>'trib 4'!C370</f>
        <v>Program Pemberdayaan Masyarakat Bidang Kesehatan</v>
      </c>
      <c r="C6" s="146">
        <f>'trib 4'!AB370</f>
        <v>18517621400</v>
      </c>
      <c r="D6" s="146">
        <f>'trib 4'!AC370</f>
        <v>9179254381</v>
      </c>
      <c r="E6" s="144">
        <f t="shared" si="0"/>
        <v>0.49570375064477773</v>
      </c>
    </row>
    <row r="7" spans="1:5" ht="14.5">
      <c r="A7" s="142">
        <v>5</v>
      </c>
      <c r="B7" s="145" t="str">
        <f>'trib 4'!C397</f>
        <v>Program Penunjang Urusan Pemerintahan Daerah Kabupaten/Kota</v>
      </c>
      <c r="C7" s="146">
        <f>'trib 4'!AB397</f>
        <v>202691799996</v>
      </c>
      <c r="D7" s="146">
        <f>'trib 4'!AC397</f>
        <v>117229452436.14</v>
      </c>
      <c r="E7" s="144">
        <f t="shared" si="0"/>
        <v>0.57836307358488825</v>
      </c>
    </row>
    <row r="9" spans="1:5" ht="14.5">
      <c r="B9" s="147" t="s">
        <v>793</v>
      </c>
      <c r="C9" s="148">
        <f t="shared" ref="C9:D9" si="1">SUM(C3:C7)</f>
        <v>440956230070</v>
      </c>
      <c r="D9" s="148">
        <f t="shared" si="1"/>
        <v>251775820383.14001</v>
      </c>
      <c r="E9" s="149">
        <f>D9/C9</f>
        <v>0.57097689796370865</v>
      </c>
    </row>
    <row r="17" spans="3:3" ht="14.5">
      <c r="C17" s="45"/>
    </row>
    <row r="18" spans="3:3" ht="14.5">
      <c r="C18" s="45"/>
    </row>
    <row r="19" spans="3:3" ht="14.5">
      <c r="C19" s="150"/>
    </row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E1000"/>
  <sheetViews>
    <sheetView workbookViewId="0"/>
  </sheetViews>
  <sheetFormatPr defaultColWidth="14.453125" defaultRowHeight="15" customHeight="1"/>
  <cols>
    <col min="1" max="1" width="8.7265625" customWidth="1"/>
    <col min="2" max="2" width="73.54296875" customWidth="1"/>
    <col min="3" max="3" width="20.453125" customWidth="1"/>
    <col min="4" max="4" width="22.81640625" customWidth="1"/>
    <col min="5" max="5" width="14.26953125" customWidth="1"/>
    <col min="6" max="26" width="8.7265625" customWidth="1"/>
  </cols>
  <sheetData>
    <row r="2" spans="1:5" ht="14.5">
      <c r="B2" s="141" t="s">
        <v>794</v>
      </c>
      <c r="C2" s="141" t="s">
        <v>790</v>
      </c>
      <c r="D2" s="141" t="s">
        <v>791</v>
      </c>
      <c r="E2" s="141" t="s">
        <v>792</v>
      </c>
    </row>
    <row r="3" spans="1:5" ht="29">
      <c r="A3" s="142">
        <v>1</v>
      </c>
      <c r="B3" s="145" t="str">
        <f>'trib 4'!C28</f>
        <v>Penyediaan Fasilitas Pelayanan Kesehatan untuk UKM dan UKP Kewenangan Daerah Kabupaten/Kota</v>
      </c>
      <c r="C3" s="21">
        <f>'trib 4'!AD28</f>
        <v>15117578720</v>
      </c>
      <c r="D3" s="21">
        <f>'trib 4'!AE28</f>
        <v>2717329496</v>
      </c>
      <c r="E3" s="144">
        <f t="shared" ref="E3:E24" si="0">D3/C3</f>
        <v>0.17974634340121365</v>
      </c>
    </row>
    <row r="4" spans="1:5" ht="29">
      <c r="A4" s="142">
        <v>2</v>
      </c>
      <c r="B4" s="145" t="s">
        <v>81</v>
      </c>
      <c r="C4" s="146">
        <f>'trib 4'!AD39</f>
        <v>202477282854</v>
      </c>
      <c r="D4" s="146">
        <f>'trib 4'!AE39</f>
        <v>121963104058</v>
      </c>
      <c r="E4" s="144">
        <f t="shared" si="0"/>
        <v>0.60235450781875499</v>
      </c>
    </row>
    <row r="5" spans="1:5" ht="14.5">
      <c r="A5" s="142">
        <v>3</v>
      </c>
      <c r="B5" s="145" t="s">
        <v>573</v>
      </c>
      <c r="C5" s="146">
        <f>'trib 4'!AD328</f>
        <v>506248900</v>
      </c>
      <c r="D5" s="146">
        <f>'trib 4'!AE328</f>
        <v>20456000</v>
      </c>
      <c r="E5" s="144">
        <f t="shared" si="0"/>
        <v>4.0407001378175836E-2</v>
      </c>
    </row>
    <row r="6" spans="1:5" ht="29">
      <c r="A6" s="142">
        <v>4</v>
      </c>
      <c r="B6" s="145" t="s">
        <v>592</v>
      </c>
      <c r="C6" s="146">
        <f>'trib 4'!AD345</f>
        <v>46748800</v>
      </c>
      <c r="D6" s="146">
        <f>'trib 4'!AE345</f>
        <v>26594012</v>
      </c>
      <c r="E6" s="144">
        <f t="shared" si="0"/>
        <v>0.56887047368060784</v>
      </c>
    </row>
    <row r="7" spans="1:5" ht="14.5">
      <c r="A7" s="142">
        <v>5</v>
      </c>
      <c r="B7" s="145" t="s">
        <v>604</v>
      </c>
      <c r="C7" s="146">
        <f>'trib 4'!AD352</f>
        <v>3600000</v>
      </c>
      <c r="D7" s="146">
        <f>'trib 4'!AE352</f>
        <v>900000</v>
      </c>
      <c r="E7" s="144">
        <f t="shared" si="0"/>
        <v>0.25</v>
      </c>
    </row>
    <row r="8" spans="1:5" ht="29">
      <c r="A8" s="142">
        <v>6</v>
      </c>
      <c r="B8" s="145" t="s">
        <v>608</v>
      </c>
      <c r="C8" s="146">
        <f>'trib 4'!AD354</f>
        <v>42940000</v>
      </c>
      <c r="D8" s="146">
        <f>'trib 4'!AE354</f>
        <v>5320000</v>
      </c>
      <c r="E8" s="144">
        <f t="shared" si="0"/>
        <v>0.12389380530973451</v>
      </c>
    </row>
    <row r="9" spans="1:5" ht="29">
      <c r="A9" s="142">
        <v>7</v>
      </c>
      <c r="B9" s="145" t="s">
        <v>614</v>
      </c>
      <c r="C9" s="146">
        <f>'trib 4'!AD357</f>
        <v>803255400</v>
      </c>
      <c r="D9" s="146">
        <f>'trib 4'!AE357</f>
        <v>608870000</v>
      </c>
      <c r="E9" s="144">
        <f t="shared" si="0"/>
        <v>0.75800299630727663</v>
      </c>
    </row>
    <row r="10" spans="1:5" ht="29">
      <c r="A10" s="142">
        <v>8</v>
      </c>
      <c r="B10" s="145" t="s">
        <v>621</v>
      </c>
      <c r="C10" s="146">
        <f>'trib 4'!AD362</f>
        <v>145556000</v>
      </c>
      <c r="D10" s="146">
        <f>'trib 4'!AE362</f>
        <v>1200000</v>
      </c>
      <c r="E10" s="144">
        <f t="shared" si="0"/>
        <v>8.2442496358789748E-3</v>
      </c>
    </row>
    <row r="11" spans="1:5" ht="43.5">
      <c r="A11" s="142">
        <v>9</v>
      </c>
      <c r="B11" s="145" t="s">
        <v>626</v>
      </c>
      <c r="C11" s="146">
        <f>'trib 4'!AD364</f>
        <v>385220000</v>
      </c>
      <c r="D11" s="146">
        <f>'trib 4'!AE364</f>
        <v>21940000</v>
      </c>
      <c r="E11" s="144">
        <f t="shared" si="0"/>
        <v>5.6954467576969002E-2</v>
      </c>
    </row>
    <row r="12" spans="1:5" ht="29">
      <c r="A12" s="142">
        <v>10</v>
      </c>
      <c r="B12" s="145" t="s">
        <v>631</v>
      </c>
      <c r="C12" s="146">
        <f>'trib 4'!AD366</f>
        <v>218378000</v>
      </c>
      <c r="D12" s="146">
        <f>'trib 4'!AE366</f>
        <v>1400000</v>
      </c>
      <c r="E12" s="144">
        <f t="shared" si="0"/>
        <v>6.4109021971077672E-3</v>
      </c>
    </row>
    <row r="13" spans="1:5" ht="29">
      <c r="A13" s="142">
        <v>11</v>
      </c>
      <c r="B13" s="145" t="s">
        <v>639</v>
      </c>
      <c r="C13" s="146">
        <f>'trib 4'!AD371</f>
        <v>576506500</v>
      </c>
      <c r="D13" s="146">
        <f>'trib 4'!AE371</f>
        <v>519571615</v>
      </c>
      <c r="E13" s="144">
        <f t="shared" si="0"/>
        <v>0.90124155581940535</v>
      </c>
    </row>
    <row r="14" spans="1:5" ht="14.5">
      <c r="A14" s="142">
        <v>12</v>
      </c>
      <c r="B14" s="145" t="s">
        <v>643</v>
      </c>
      <c r="C14" s="146">
        <f>'trib 4'!AD373</f>
        <v>684218000</v>
      </c>
      <c r="D14" s="146">
        <f>'trib 4'!AE373</f>
        <v>549880000</v>
      </c>
      <c r="E14" s="144">
        <f t="shared" si="0"/>
        <v>0.80366199076902389</v>
      </c>
    </row>
    <row r="15" spans="1:5" ht="29">
      <c r="A15" s="142">
        <v>13</v>
      </c>
      <c r="B15" s="145" t="s">
        <v>651</v>
      </c>
      <c r="C15" s="146">
        <f>'trib 4'!AD376</f>
        <v>17256896900</v>
      </c>
      <c r="D15" s="146">
        <f>'trib 4'!AE376</f>
        <v>8109802766</v>
      </c>
      <c r="E15" s="144">
        <f t="shared" si="0"/>
        <v>0.46994559989519319</v>
      </c>
    </row>
    <row r="16" spans="1:5" ht="14.5">
      <c r="A16" s="142">
        <v>14</v>
      </c>
      <c r="B16" s="145" t="s">
        <v>683</v>
      </c>
      <c r="C16" s="146">
        <f>'trib 4'!AD402</f>
        <v>0</v>
      </c>
      <c r="D16" s="146">
        <f>'trib 4'!AE402</f>
        <v>0</v>
      </c>
      <c r="E16" s="144" t="e">
        <f t="shared" si="0"/>
        <v>#DIV/0!</v>
      </c>
    </row>
    <row r="17" spans="1:5" ht="14.5">
      <c r="A17" s="142">
        <v>15</v>
      </c>
      <c r="B17" s="145" t="s">
        <v>687</v>
      </c>
      <c r="C17" s="146">
        <f>'trib 4'!AD404</f>
        <v>128008661457</v>
      </c>
      <c r="D17" s="146">
        <f>'trib 4'!AE404</f>
        <v>92988755746</v>
      </c>
      <c r="E17" s="144">
        <f t="shared" si="0"/>
        <v>0.72642549877170848</v>
      </c>
    </row>
    <row r="18" spans="1:5" ht="14.5">
      <c r="A18" s="142">
        <v>16</v>
      </c>
      <c r="B18" s="145" t="s">
        <v>695</v>
      </c>
      <c r="C18" s="146">
        <f>'trib 4'!AD407</f>
        <v>317269580</v>
      </c>
      <c r="D18" s="146">
        <f>'trib 4'!AE407</f>
        <v>265132756</v>
      </c>
      <c r="E18" s="144">
        <f t="shared" si="0"/>
        <v>0.83567027131942495</v>
      </c>
    </row>
    <row r="19" spans="1:5" ht="14.5">
      <c r="A19" s="142">
        <v>17</v>
      </c>
      <c r="B19" s="145" t="s">
        <v>703</v>
      </c>
      <c r="C19" s="146">
        <f>'trib 4'!AD410</f>
        <v>49000000</v>
      </c>
      <c r="D19" s="146">
        <f>'trib 4'!AE410</f>
        <v>5600000</v>
      </c>
      <c r="E19" s="144">
        <f t="shared" si="0"/>
        <v>0.11428571428571428</v>
      </c>
    </row>
    <row r="20" spans="1:5" ht="14.5">
      <c r="A20" s="142">
        <v>18</v>
      </c>
      <c r="B20" s="145" t="s">
        <v>708</v>
      </c>
      <c r="C20" s="146">
        <f>'trib 4'!AD412</f>
        <v>2313274560</v>
      </c>
      <c r="D20" s="146">
        <f>'trib 4'!AE412</f>
        <v>1570093509</v>
      </c>
      <c r="E20" s="144">
        <f t="shared" si="0"/>
        <v>0.67873201743938261</v>
      </c>
    </row>
    <row r="21" spans="1:5" ht="15.75" customHeight="1">
      <c r="A21" s="142">
        <v>19</v>
      </c>
      <c r="B21" s="145" t="s">
        <v>725</v>
      </c>
      <c r="C21" s="146">
        <f>'trib 4'!AD419</f>
        <v>48110000</v>
      </c>
      <c r="D21" s="146">
        <f>'trib 4'!AE419</f>
        <v>11500000</v>
      </c>
      <c r="E21" s="144">
        <f t="shared" si="0"/>
        <v>0.23903554354604031</v>
      </c>
    </row>
    <row r="22" spans="1:5" ht="15.75" customHeight="1">
      <c r="A22" s="142">
        <v>20</v>
      </c>
      <c r="B22" s="145" t="s">
        <v>730</v>
      </c>
      <c r="C22" s="146">
        <f>'trib 4'!AD421</f>
        <v>1202346000</v>
      </c>
      <c r="D22" s="146">
        <f>'trib 4'!AE421</f>
        <v>660746773</v>
      </c>
      <c r="E22" s="144">
        <f t="shared" si="0"/>
        <v>0.54954794460163714</v>
      </c>
    </row>
    <row r="23" spans="1:5" ht="15.75" customHeight="1">
      <c r="A23" s="142">
        <v>21</v>
      </c>
      <c r="B23" s="145" t="s">
        <v>736</v>
      </c>
      <c r="C23" s="146">
        <f>'trib 4'!AD424</f>
        <v>677894500</v>
      </c>
      <c r="D23" s="146">
        <f>'trib 4'!AE424</f>
        <v>388318865</v>
      </c>
      <c r="E23" s="144">
        <f t="shared" si="0"/>
        <v>0.57283082397039653</v>
      </c>
    </row>
    <row r="24" spans="1:5" ht="15.75" customHeight="1">
      <c r="A24" s="142">
        <v>22</v>
      </c>
      <c r="B24" s="145" t="s">
        <v>750</v>
      </c>
      <c r="C24" s="146">
        <f>'trib 4'!AD429</f>
        <v>70075243899</v>
      </c>
      <c r="D24" s="146">
        <f>'trib 4'!AE429</f>
        <v>21339304787.139999</v>
      </c>
      <c r="E24" s="144">
        <f t="shared" si="0"/>
        <v>0.30451987891610494</v>
      </c>
    </row>
    <row r="25" spans="1:5" ht="15.75" customHeight="1"/>
    <row r="26" spans="1:5" ht="15.75" customHeight="1">
      <c r="B26" s="147" t="s">
        <v>793</v>
      </c>
      <c r="C26" s="148">
        <f t="shared" ref="C26:D26" si="1">SUM(C3:C24)</f>
        <v>440956230070</v>
      </c>
      <c r="D26" s="148">
        <f t="shared" si="1"/>
        <v>251775820383.14001</v>
      </c>
      <c r="E26" s="149">
        <f>D26/C26</f>
        <v>0.57097689796370865</v>
      </c>
    </row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spans="3:3" ht="15.75" customHeight="1"/>
    <row r="34" spans="3:3" ht="15.75" customHeight="1">
      <c r="C34" s="45"/>
    </row>
    <row r="35" spans="3:3" ht="15.75" customHeight="1">
      <c r="C35" s="45"/>
    </row>
    <row r="36" spans="3:3" ht="15.75" customHeight="1">
      <c r="C36" s="150"/>
    </row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trib 4</vt:lpstr>
      <vt:lpstr>rekap per program</vt:lpstr>
      <vt:lpstr>rekap per kegiatan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hp</cp:lastModifiedBy>
  <dcterms:created xsi:type="dcterms:W3CDTF">2020-02-09T19:36:44Z</dcterms:created>
  <dcterms:modified xsi:type="dcterms:W3CDTF">2025-01-09T01:48:39Z</dcterms:modified>
</cp:coreProperties>
</file>