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r. Indera" sheetId="1" r:id="rId4"/>
    <sheet state="hidden" name="Per Puskesmas - Rekap KTR" sheetId="2" r:id="rId5"/>
    <sheet state="hidden" name="Per Puskesmas Rekap UBM" sheetId="3" r:id="rId6"/>
  </sheets>
  <definedNames/>
  <calcPr/>
  <extLst>
    <ext uri="GoogleSheetsCustomDataVersion2">
      <go:sheetsCustomData xmlns:go="http://customooxmlschemas.google.com/" r:id="rId7" roundtripDataChecksum="B8sFo3slr/io29GfxOowztg8pGkfTX1CfjyUQH0G8Tk="/>
    </ext>
  </extLst>
</workbook>
</file>

<file path=xl/sharedStrings.xml><?xml version="1.0" encoding="utf-8"?>
<sst xmlns="http://schemas.openxmlformats.org/spreadsheetml/2006/main" count="85" uniqueCount="59">
  <si>
    <t>LAPORAN CAPAIAN SKRINING INDERA</t>
  </si>
  <si>
    <t>PUSKESMAS MOJOLANGU</t>
  </si>
  <si>
    <t>TAHUN 2025</t>
  </si>
  <si>
    <t>No</t>
  </si>
  <si>
    <t>Bulan</t>
  </si>
  <si>
    <t>Total Sasaran</t>
  </si>
  <si>
    <t>Target/Sasaran 90%</t>
  </si>
  <si>
    <t>Total Capaian Puskesmas</t>
  </si>
  <si>
    <t>Total Capaian FKTP Jejaring Wilayah Puskesmas</t>
  </si>
  <si>
    <t>Total Capaian Skrining Indera</t>
  </si>
  <si>
    <t>Pesesentase</t>
  </si>
  <si>
    <t>Keterangan</t>
  </si>
  <si>
    <t>Laki - Laki</t>
  </si>
  <si>
    <t>Perempuan</t>
  </si>
  <si>
    <t>Total</t>
  </si>
  <si>
    <t>Target/Sasaran 70%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</si>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</sst>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30">
    <font>
      <sz val="11.0"/>
      <color theme="1"/>
      <name val="Verdana"/>
      <scheme val="minor"/>
    </font>
    <font>
      <b/>
      <u/>
      <sz val="12.0"/>
      <color rgb="FF1155CC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b/>
      <sz val="12.0"/>
      <color rgb="FF1A1A1A"/>
      <name val="Calibri"/>
    </font>
    <font>
      <b/>
      <u/>
      <sz val="12.0"/>
      <color rgb="FF1155CC"/>
      <name val="Calibri"/>
    </font>
    <font/>
    <font>
      <b/>
      <u/>
      <sz val="12.0"/>
      <color rgb="FF1155CC"/>
      <name val="Calibri"/>
    </font>
    <font>
      <sz val="11.0"/>
      <color rgb="FF000000"/>
      <name val="Calibri"/>
    </font>
    <font>
      <sz val="11.0"/>
      <color rgb="FF000000"/>
      <name val="Arial Narrow"/>
    </font>
    <font>
      <sz val="11.0"/>
      <color theme="1"/>
      <name val="Arial Narrow"/>
    </font>
    <font>
      <sz val="11.0"/>
      <color rgb="FF1A1A1A"/>
      <name val="Bookman Old Style"/>
    </font>
    <font>
      <sz val="11.0"/>
      <color theme="1"/>
      <name val="Calibri"/>
    </font>
    <font>
      <b/>
      <sz val="11.0"/>
      <color theme="1"/>
      <name val="Arial Narrow"/>
    </font>
    <font>
      <b/>
      <sz val="11.0"/>
      <color rgb="FF000000"/>
      <name val="Calibri"/>
    </font>
    <font>
      <b/>
      <sz val="11.0"/>
      <color theme="1"/>
      <name val="Calibri"/>
    </font>
    <font>
      <sz val="12.0"/>
      <color rgb="FF000000"/>
      <name val="Arial Narrow"/>
    </font>
    <font>
      <b/>
      <u/>
      <sz val="12.0"/>
      <color rgb="FF980000"/>
      <name val="Calibri"/>
    </font>
    <font>
      <b/>
      <sz val="12.0"/>
      <color rgb="FF980000"/>
      <name val="Calibri"/>
    </font>
    <font>
      <b/>
      <sz val="11.0"/>
      <color theme="1"/>
      <name val="Bookman Old Style"/>
    </font>
    <font>
      <b/>
      <sz val="11.0"/>
      <color rgb="FF980000"/>
      <name val="Calibri"/>
    </font>
    <font>
      <sz val="12.0"/>
      <color theme="1"/>
      <name val="Verdana"/>
    </font>
    <font>
      <b/>
      <u/>
      <sz val="11.0"/>
      <color rgb="FF980000"/>
      <name val="Calibri"/>
    </font>
    <font>
      <sz val="11.0"/>
      <color theme="1"/>
      <name val="Verdana"/>
    </font>
    <font>
      <b/>
      <u/>
      <sz val="14.0"/>
      <color rgb="FF1155CC"/>
      <name val="Calibri"/>
    </font>
    <font>
      <b/>
      <sz val="16.0"/>
      <color theme="1"/>
      <name val="Calibri"/>
    </font>
    <font>
      <b/>
      <u/>
      <sz val="14.0"/>
      <color rgb="FF0000FF"/>
      <name val="Calibri"/>
    </font>
    <font>
      <sz val="12.0"/>
      <color theme="1"/>
      <name val="Calibri"/>
    </font>
    <font>
      <sz val="11.0"/>
      <color theme="1"/>
      <name val="Bookman Old Style"/>
    </font>
    <font>
      <b/>
      <sz val="12.0"/>
      <color rgb="FF000000"/>
      <name val="Arial Narrow"/>
    </font>
  </fonts>
  <fills count="12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DCC7"/>
        <bgColor rgb="FFFFDCC7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</fills>
  <borders count="47">
    <border/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</border>
    <border>
      <top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horizontal="center" shrinkToFit="0" vertical="center" wrapText="1"/>
    </xf>
    <xf borderId="0" fillId="4" fontId="3" numFmtId="0" xfId="0" applyAlignment="1" applyFill="1" applyFont="1">
      <alignment horizontal="center" shrinkToFit="0" vertical="center" wrapText="1"/>
    </xf>
    <xf borderId="0" fillId="4" fontId="4" numFmtId="0" xfId="0" applyAlignment="1" applyFont="1">
      <alignment horizontal="center" shrinkToFit="0" vertical="center" wrapText="1"/>
    </xf>
    <xf borderId="0" fillId="4" fontId="3" numFmtId="0" xfId="0" applyAlignment="1" applyFont="1">
      <alignment horizontal="center" vertical="center"/>
    </xf>
    <xf borderId="0" fillId="5" fontId="3" numFmtId="0" xfId="0" applyAlignment="1" applyFill="1" applyFont="1">
      <alignment horizontal="center" shrinkToFit="0" vertical="center" wrapText="1"/>
    </xf>
    <xf borderId="0" fillId="6" fontId="3" numFmtId="0" xfId="0" applyAlignment="1" applyFill="1" applyFont="1">
      <alignment horizontal="center" vertical="center"/>
    </xf>
    <xf borderId="0" fillId="6" fontId="3" numFmtId="0" xfId="0" applyAlignment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0" fillId="2" fontId="3" numFmtId="0" xfId="0" applyAlignment="1" applyFon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vertical="center"/>
    </xf>
    <xf borderId="6" fillId="0" fontId="6" numFmtId="0" xfId="0" applyBorder="1" applyFont="1"/>
    <xf borderId="7" fillId="0" fontId="6" numFmtId="0" xfId="0" applyBorder="1" applyFont="1"/>
    <xf borderId="5" fillId="5" fontId="3" numFmtId="0" xfId="0" applyAlignment="1" applyBorder="1" applyFont="1">
      <alignment horizontal="center" shrinkToFit="0" vertical="center" wrapText="1"/>
    </xf>
    <xf borderId="5" fillId="6" fontId="3" numFmtId="0" xfId="0" applyAlignment="1" applyBorder="1" applyFont="1">
      <alignment horizontal="center" vertical="center"/>
    </xf>
    <xf borderId="4" fillId="6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4" fontId="3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3" fillId="4" fontId="3" numFmtId="0" xfId="0" applyAlignment="1" applyBorder="1" applyFont="1">
      <alignment horizontal="center" vertical="center"/>
    </xf>
    <xf borderId="11" fillId="5" fontId="3" numFmtId="0" xfId="0" applyAlignment="1" applyBorder="1" applyFont="1">
      <alignment horizontal="center" vertical="center"/>
    </xf>
    <xf borderId="12" fillId="5" fontId="3" numFmtId="0" xfId="0" applyAlignment="1" applyBorder="1" applyFont="1">
      <alignment horizontal="center" vertical="center"/>
    </xf>
    <xf borderId="13" fillId="5" fontId="3" numFmtId="0" xfId="0" applyAlignment="1" applyBorder="1" applyFont="1">
      <alignment horizontal="center" vertical="center"/>
    </xf>
    <xf borderId="11" fillId="6" fontId="3" numFmtId="0" xfId="0" applyAlignment="1" applyBorder="1" applyFont="1">
      <alignment horizontal="center" vertical="center"/>
    </xf>
    <xf borderId="12" fillId="6" fontId="3" numFmtId="0" xfId="0" applyAlignment="1" applyBorder="1" applyFont="1">
      <alignment horizontal="center" vertical="center"/>
    </xf>
    <xf borderId="13" fillId="6" fontId="3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4" fillId="3" fontId="2" numFmtId="0" xfId="0" applyAlignment="1" applyBorder="1" applyFont="1">
      <alignment horizontal="center" shrinkToFit="0" vertical="center" wrapText="1"/>
    </xf>
    <xf borderId="15" fillId="3" fontId="2" numFmtId="0" xfId="0" applyAlignment="1" applyBorder="1" applyFont="1">
      <alignment horizontal="center" shrinkToFit="0" vertical="center" wrapText="1"/>
    </xf>
    <xf borderId="16" fillId="4" fontId="3" numFmtId="0" xfId="0" applyAlignment="1" applyBorder="1" applyFont="1">
      <alignment horizontal="center" shrinkToFit="0" vertical="center" wrapText="1"/>
    </xf>
    <xf borderId="17" fillId="6" fontId="3" numFmtId="0" xfId="0" applyAlignment="1" applyBorder="1" applyFont="1">
      <alignment horizontal="center" shrinkToFit="0" vertical="center" wrapText="1"/>
    </xf>
    <xf borderId="17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8" fillId="0" fontId="9" numFmtId="0" xfId="0" applyAlignment="1" applyBorder="1" applyFont="1">
      <alignment horizontal="center"/>
    </xf>
    <xf borderId="13" fillId="0" fontId="10" numFmtId="0" xfId="0" applyAlignment="1" applyBorder="1" applyFont="1">
      <alignment horizontal="left"/>
    </xf>
    <xf borderId="10" fillId="0" fontId="11" numFmtId="3" xfId="0" applyAlignment="1" applyBorder="1" applyFont="1" applyNumberFormat="1">
      <alignment horizontal="center" readingOrder="0" vertical="center"/>
    </xf>
    <xf borderId="10" fillId="0" fontId="11" numFmtId="3" xfId="0" applyAlignment="1" applyBorder="1" applyFont="1" applyNumberFormat="1">
      <alignment horizontal="center" vertical="center"/>
    </xf>
    <xf borderId="11" fillId="0" fontId="8" numFmtId="3" xfId="0" applyAlignment="1" applyBorder="1" applyFont="1" applyNumberFormat="1">
      <alignment horizontal="right"/>
    </xf>
    <xf borderId="12" fillId="0" fontId="8" numFmtId="3" xfId="0" applyAlignment="1" applyBorder="1" applyFont="1" applyNumberFormat="1">
      <alignment horizontal="right"/>
    </xf>
    <xf borderId="13" fillId="0" fontId="12" numFmtId="3" xfId="0" applyAlignment="1" applyBorder="1" applyFont="1" applyNumberFormat="1">
      <alignment horizontal="right"/>
    </xf>
    <xf borderId="18" fillId="0" fontId="12" numFmtId="0" xfId="0" applyAlignment="1" applyBorder="1" applyFont="1">
      <alignment horizontal="center"/>
    </xf>
    <xf borderId="9" fillId="0" fontId="10" numFmtId="0" xfId="0" applyAlignment="1" applyBorder="1" applyFont="1">
      <alignment horizontal="left"/>
    </xf>
    <xf borderId="0" fillId="0" fontId="8" numFmtId="3" xfId="0" applyAlignment="1" applyFont="1" applyNumberFormat="1">
      <alignment horizontal="right"/>
    </xf>
    <xf borderId="19" fillId="7" fontId="9" numFmtId="0" xfId="0" applyAlignment="1" applyBorder="1" applyFill="1" applyFont="1">
      <alignment horizontal="center"/>
    </xf>
    <xf borderId="20" fillId="7" fontId="13" numFmtId="0" xfId="0" applyAlignment="1" applyBorder="1" applyFont="1">
      <alignment horizontal="left"/>
    </xf>
    <xf borderId="11" fillId="7" fontId="14" numFmtId="3" xfId="0" applyAlignment="1" applyBorder="1" applyFont="1" applyNumberFormat="1">
      <alignment horizontal="right"/>
    </xf>
    <xf borderId="12" fillId="7" fontId="14" numFmtId="3" xfId="0" applyAlignment="1" applyBorder="1" applyFont="1" applyNumberFormat="1">
      <alignment horizontal="right"/>
    </xf>
    <xf borderId="13" fillId="7" fontId="15" numFmtId="3" xfId="0" applyAlignment="1" applyBorder="1" applyFont="1" applyNumberFormat="1">
      <alignment horizontal="right"/>
    </xf>
    <xf borderId="18" fillId="7" fontId="15" numFmtId="0" xfId="0" applyAlignment="1" applyBorder="1" applyFont="1">
      <alignment horizontal="center"/>
    </xf>
    <xf borderId="8" fillId="0" fontId="16" numFmtId="0" xfId="0" applyAlignment="1" applyBorder="1" applyFont="1">
      <alignment horizontal="center"/>
    </xf>
    <xf borderId="21" fillId="7" fontId="9" numFmtId="0" xfId="0" applyAlignment="1" applyBorder="1" applyFont="1">
      <alignment horizontal="center"/>
    </xf>
    <xf borderId="22" fillId="7" fontId="13" numFmtId="0" xfId="0" applyAlignment="1" applyBorder="1" applyFont="1">
      <alignment horizontal="left"/>
    </xf>
    <xf borderId="23" fillId="7" fontId="14" numFmtId="3" xfId="0" applyAlignment="1" applyBorder="1" applyFont="1" applyNumberFormat="1">
      <alignment horizontal="right"/>
    </xf>
    <xf borderId="24" fillId="7" fontId="14" numFmtId="3" xfId="0" applyAlignment="1" applyBorder="1" applyFont="1" applyNumberFormat="1">
      <alignment horizontal="right"/>
    </xf>
    <xf borderId="25" fillId="7" fontId="15" numFmtId="3" xfId="0" applyAlignment="1" applyBorder="1" applyFont="1" applyNumberFormat="1">
      <alignment horizontal="right"/>
    </xf>
    <xf borderId="26" fillId="7" fontId="15" numFmtId="0" xfId="0" applyAlignment="1" applyBorder="1" applyFont="1">
      <alignment horizontal="center"/>
    </xf>
    <xf borderId="0" fillId="0" fontId="17" numFmtId="0" xfId="0" applyAlignment="1" applyFont="1">
      <alignment vertical="center"/>
    </xf>
    <xf borderId="27" fillId="0" fontId="18" numFmtId="0" xfId="0" applyAlignment="1" applyBorder="1" applyFont="1">
      <alignment horizontal="center" vertical="center"/>
    </xf>
    <xf borderId="28" fillId="0" fontId="6" numFmtId="0" xfId="0" applyBorder="1" applyFont="1"/>
    <xf borderId="29" fillId="0" fontId="19" numFmtId="3" xfId="0" applyAlignment="1" applyBorder="1" applyFont="1" applyNumberFormat="1">
      <alignment horizontal="center" vertical="center"/>
    </xf>
    <xf borderId="30" fillId="0" fontId="20" numFmtId="3" xfId="0" applyAlignment="1" applyBorder="1" applyFont="1" applyNumberFormat="1">
      <alignment horizontal="right" vertical="center"/>
    </xf>
    <xf borderId="31" fillId="0" fontId="20" numFmtId="3" xfId="0" applyAlignment="1" applyBorder="1" applyFont="1" applyNumberFormat="1">
      <alignment horizontal="right" vertical="center"/>
    </xf>
    <xf borderId="32" fillId="0" fontId="20" numFmtId="3" xfId="0" applyAlignment="1" applyBorder="1" applyFont="1" applyNumberFormat="1">
      <alignment horizontal="right" vertical="center"/>
    </xf>
    <xf borderId="29" fillId="0" fontId="20" numFmtId="3" xfId="0" applyAlignment="1" applyBorder="1" applyFont="1" applyNumberFormat="1">
      <alignment horizontal="center" vertical="center"/>
    </xf>
    <xf borderId="33" fillId="0" fontId="20" numFmtId="3" xfId="0" applyAlignment="1" applyBorder="1" applyFont="1" applyNumberFormat="1">
      <alignment horizontal="center" vertical="center"/>
    </xf>
    <xf borderId="0" fillId="0" fontId="21" numFmtId="0" xfId="0" applyAlignment="1" applyFont="1">
      <alignment vertical="center"/>
    </xf>
    <xf borderId="0" fillId="0" fontId="22" numFmtId="0" xfId="0" applyFont="1"/>
    <xf borderId="0" fillId="0" fontId="20" numFmtId="0" xfId="0" applyFont="1"/>
    <xf borderId="0" fillId="0" fontId="8" numFmtId="0" xfId="0" applyFont="1"/>
    <xf borderId="0" fillId="0" fontId="23" numFmtId="0" xfId="0" applyAlignment="1" applyFont="1">
      <alignment horizontal="center"/>
    </xf>
    <xf borderId="34" fillId="2" fontId="24" numFmtId="0" xfId="0" applyAlignment="1" applyBorder="1" applyFont="1">
      <alignment horizontal="left" shrinkToFit="0" vertical="center" wrapText="1"/>
    </xf>
    <xf borderId="35" fillId="0" fontId="6" numFmtId="0" xfId="0" applyBorder="1" applyFont="1"/>
    <xf borderId="1" fillId="2" fontId="25" numFmtId="0" xfId="0" applyAlignment="1" applyBorder="1" applyFont="1">
      <alignment horizontal="center" vertical="center"/>
    </xf>
    <xf borderId="1" fillId="2" fontId="23" numFmtId="0" xfId="0" applyBorder="1" applyFont="1"/>
    <xf borderId="36" fillId="0" fontId="6" numFmtId="0" xfId="0" applyBorder="1" applyFont="1"/>
    <xf borderId="1" fillId="2" fontId="25" numFmtId="0" xfId="0" applyAlignment="1" applyBorder="1" applyFont="1">
      <alignment horizontal="left" vertical="center"/>
    </xf>
    <xf borderId="37" fillId="2" fontId="26" numFmtId="0" xfId="0" applyAlignment="1" applyBorder="1" applyFont="1">
      <alignment horizontal="left" vertical="center"/>
    </xf>
    <xf borderId="38" fillId="0" fontId="6" numFmtId="0" xfId="0" applyBorder="1" applyFont="1"/>
    <xf borderId="0" fillId="0" fontId="27" numFmtId="0" xfId="0" applyAlignment="1" applyFont="1">
      <alignment vertical="center"/>
    </xf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41" fillId="0" fontId="6" numFmtId="0" xfId="0" applyBorder="1" applyFont="1"/>
    <xf borderId="42" fillId="0" fontId="6" numFmtId="0" xfId="0" applyBorder="1" applyFont="1"/>
    <xf borderId="0" fillId="0" fontId="27" numFmtId="0" xfId="0" applyAlignment="1" applyFont="1">
      <alignment shrinkToFit="0" vertical="center" wrapText="1"/>
    </xf>
    <xf borderId="43" fillId="0" fontId="6" numFmtId="0" xfId="0" applyBorder="1" applyFont="1"/>
    <xf borderId="12" fillId="0" fontId="3" numFmtId="0" xfId="0" applyAlignment="1" applyBorder="1" applyFont="1">
      <alignment horizontal="center" shrinkToFit="0" vertical="center" wrapText="1"/>
    </xf>
    <xf borderId="44" fillId="0" fontId="6" numFmtId="0" xfId="0" applyBorder="1" applyFont="1"/>
    <xf borderId="12" fillId="0" fontId="3" numFmtId="0" xfId="0" applyAlignment="1" applyBorder="1" applyFont="1">
      <alignment horizontal="center" vertical="center"/>
    </xf>
    <xf borderId="0" fillId="0" fontId="27" numFmtId="0" xfId="0" applyAlignment="1" applyFont="1">
      <alignment horizontal="center" vertical="center"/>
    </xf>
    <xf borderId="12" fillId="0" fontId="28" numFmtId="0" xfId="0" applyAlignment="1" applyBorder="1" applyFont="1">
      <alignment horizontal="left"/>
    </xf>
    <xf borderId="12" fillId="0" fontId="10" numFmtId="3" xfId="0" applyAlignment="1" applyBorder="1" applyFont="1" applyNumberFormat="1">
      <alignment horizontal="right"/>
    </xf>
    <xf borderId="34" fillId="2" fontId="25" numFmtId="0" xfId="0" applyAlignment="1" applyBorder="1" applyFont="1">
      <alignment horizontal="center" vertical="center"/>
    </xf>
    <xf borderId="40" fillId="8" fontId="29" numFmtId="0" xfId="0" applyAlignment="1" applyBorder="1" applyFill="1" applyFont="1">
      <alignment horizontal="center" vertical="center"/>
    </xf>
    <xf borderId="0" fillId="0" fontId="23" numFmtId="0" xfId="0" applyAlignment="1" applyFont="1">
      <alignment vertical="center"/>
    </xf>
    <xf borderId="45" fillId="9" fontId="29" numFmtId="0" xfId="0" applyAlignment="1" applyBorder="1" applyFill="1" applyFont="1">
      <alignment horizontal="center" shrinkToFit="0" vertical="center" wrapText="1"/>
    </xf>
    <xf borderId="45" fillId="10" fontId="29" numFmtId="0" xfId="0" applyAlignment="1" applyBorder="1" applyFill="1" applyFont="1">
      <alignment horizontal="center" shrinkToFit="0" vertical="center" wrapText="1"/>
    </xf>
    <xf borderId="45" fillId="11" fontId="29" numFmtId="0" xfId="0" applyAlignment="1" applyBorder="1" applyFill="1" applyFont="1">
      <alignment horizontal="center" shrinkToFit="0" vertical="center" wrapText="1"/>
    </xf>
    <xf borderId="46" fillId="0" fontId="8" numFmtId="164" xfId="0" applyAlignment="1" applyBorder="1" applyFont="1" applyNumberFormat="1">
      <alignment horizontal="center"/>
    </xf>
    <xf borderId="44" fillId="0" fontId="10" numFmtId="3" xfId="0" applyAlignment="1" applyBorder="1" applyFont="1" applyNumberFormat="1">
      <alignment horizontal="right"/>
    </xf>
    <xf borderId="0" fillId="0" fontId="15" numFmtId="0" xfId="0" applyFont="1"/>
    <xf borderId="0" fillId="0" fontId="12" numFmtId="0" xfId="0" applyFont="1"/>
    <xf borderId="0" fillId="0" fontId="27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1.22" defaultRowHeight="15.0"/>
  <cols>
    <col customWidth="1" min="1" max="1" width="3.78"/>
    <col customWidth="1" min="2" max="2" width="5.11"/>
    <col customWidth="1" min="3" max="4" width="13.33"/>
    <col customWidth="1" min="5" max="5" width="15.67"/>
    <col customWidth="1" min="6" max="8" width="11.22"/>
    <col customWidth="1" hidden="1" min="9" max="14" width="11.22"/>
    <col customWidth="1" min="15" max="15" width="13.67"/>
    <col customWidth="1" min="16" max="16" width="11.89"/>
  </cols>
  <sheetData>
    <row r="1" ht="19.5" customHeight="1">
      <c r="A1" s="1"/>
      <c r="B1" s="2" t="s">
        <v>0</v>
      </c>
      <c r="C1" s="3"/>
      <c r="D1" s="4"/>
      <c r="E1" s="5"/>
      <c r="F1" s="6"/>
      <c r="G1" s="6"/>
      <c r="H1" s="6"/>
      <c r="I1" s="7"/>
      <c r="J1" s="7"/>
      <c r="K1" s="7"/>
      <c r="L1" s="8"/>
      <c r="M1" s="8"/>
      <c r="N1" s="8"/>
      <c r="O1" s="9"/>
      <c r="P1" s="10"/>
      <c r="Q1" s="11"/>
      <c r="R1" s="11"/>
      <c r="S1" s="11"/>
      <c r="T1" s="11"/>
      <c r="U1" s="11"/>
      <c r="V1" s="11"/>
      <c r="W1" s="11"/>
      <c r="X1" s="11"/>
    </row>
    <row r="2" ht="19.5" customHeight="1">
      <c r="A2" s="1"/>
      <c r="B2" s="2" t="s">
        <v>1</v>
      </c>
      <c r="C2" s="3"/>
      <c r="D2" s="4"/>
      <c r="E2" s="5"/>
      <c r="F2" s="6"/>
      <c r="G2" s="6"/>
      <c r="H2" s="6"/>
      <c r="I2" s="7"/>
      <c r="J2" s="7"/>
      <c r="K2" s="7"/>
      <c r="L2" s="8"/>
      <c r="M2" s="8"/>
      <c r="N2" s="8"/>
      <c r="O2" s="9"/>
      <c r="P2" s="10"/>
      <c r="Q2" s="11"/>
      <c r="R2" s="11"/>
      <c r="S2" s="11"/>
      <c r="T2" s="11"/>
      <c r="U2" s="11"/>
      <c r="V2" s="11"/>
      <c r="W2" s="11"/>
      <c r="X2" s="11"/>
    </row>
    <row r="3" ht="19.5" customHeight="1">
      <c r="A3" s="1"/>
      <c r="B3" s="2" t="s">
        <v>2</v>
      </c>
      <c r="C3" s="3"/>
      <c r="D3" s="4"/>
      <c r="E3" s="5"/>
      <c r="F3" s="6"/>
      <c r="G3" s="6"/>
      <c r="H3" s="6"/>
      <c r="I3" s="7"/>
      <c r="J3" s="7"/>
      <c r="K3" s="7"/>
      <c r="L3" s="8"/>
      <c r="M3" s="8"/>
      <c r="N3" s="8"/>
      <c r="O3" s="9"/>
      <c r="P3" s="10"/>
      <c r="Q3" s="11"/>
      <c r="R3" s="11"/>
      <c r="S3" s="11"/>
      <c r="T3" s="11"/>
      <c r="U3" s="11"/>
      <c r="V3" s="11"/>
      <c r="W3" s="11"/>
      <c r="X3" s="11"/>
    </row>
    <row r="4" ht="39.0" customHeight="1">
      <c r="A4" s="12"/>
      <c r="B4" s="13" t="s">
        <v>3</v>
      </c>
      <c r="C4" s="14" t="s">
        <v>4</v>
      </c>
      <c r="D4" s="15" t="s">
        <v>5</v>
      </c>
      <c r="E4" s="16" t="s">
        <v>6</v>
      </c>
      <c r="F4" s="17" t="s">
        <v>7</v>
      </c>
      <c r="G4" s="18"/>
      <c r="H4" s="19"/>
      <c r="I4" s="20" t="s">
        <v>8</v>
      </c>
      <c r="J4" s="18"/>
      <c r="K4" s="19"/>
      <c r="L4" s="21" t="s">
        <v>9</v>
      </c>
      <c r="M4" s="18"/>
      <c r="N4" s="19"/>
      <c r="O4" s="22" t="s">
        <v>10</v>
      </c>
      <c r="P4" s="23" t="s">
        <v>11</v>
      </c>
      <c r="Q4" s="24"/>
      <c r="R4" s="24"/>
      <c r="S4" s="24"/>
      <c r="T4" s="24"/>
      <c r="U4" s="24"/>
      <c r="V4" s="24"/>
      <c r="W4" s="24"/>
      <c r="X4" s="24"/>
    </row>
    <row r="5" ht="39.0" customHeight="1">
      <c r="A5" s="12"/>
      <c r="B5" s="25"/>
      <c r="C5" s="26"/>
      <c r="D5" s="27"/>
      <c r="E5" s="27"/>
      <c r="F5" s="28" t="s">
        <v>12</v>
      </c>
      <c r="G5" s="29" t="s">
        <v>13</v>
      </c>
      <c r="H5" s="30" t="s">
        <v>14</v>
      </c>
      <c r="I5" s="31" t="s">
        <v>12</v>
      </c>
      <c r="J5" s="32" t="s">
        <v>13</v>
      </c>
      <c r="K5" s="33" t="s">
        <v>14</v>
      </c>
      <c r="L5" s="34" t="s">
        <v>12</v>
      </c>
      <c r="M5" s="35" t="s">
        <v>13</v>
      </c>
      <c r="N5" s="36" t="s">
        <v>14</v>
      </c>
      <c r="O5" s="27"/>
      <c r="P5" s="27"/>
      <c r="Q5" s="24"/>
      <c r="R5" s="24"/>
      <c r="S5" s="24"/>
      <c r="T5" s="24"/>
      <c r="U5" s="24"/>
      <c r="V5" s="24"/>
      <c r="W5" s="24"/>
      <c r="X5" s="24"/>
    </row>
    <row r="6" ht="41.25" hidden="1" customHeight="1">
      <c r="A6" s="37"/>
      <c r="B6" s="38" t="s">
        <v>3</v>
      </c>
      <c r="C6" s="39" t="s">
        <v>4</v>
      </c>
      <c r="D6" s="15" t="s">
        <v>5</v>
      </c>
      <c r="E6" s="40" t="s">
        <v>15</v>
      </c>
      <c r="F6" s="17" t="s">
        <v>7</v>
      </c>
      <c r="G6" s="18"/>
      <c r="H6" s="19"/>
      <c r="I6" s="20" t="s">
        <v>8</v>
      </c>
      <c r="J6" s="18"/>
      <c r="K6" s="19"/>
      <c r="L6" s="21" t="s">
        <v>9</v>
      </c>
      <c r="M6" s="18"/>
      <c r="N6" s="19"/>
      <c r="O6" s="41" t="s">
        <v>10</v>
      </c>
      <c r="P6" s="42" t="s">
        <v>11</v>
      </c>
      <c r="Q6" s="43"/>
      <c r="R6" s="43"/>
      <c r="S6" s="43"/>
      <c r="T6" s="43"/>
      <c r="U6" s="43"/>
      <c r="V6" s="43"/>
      <c r="W6" s="43"/>
      <c r="X6" s="43"/>
    </row>
    <row r="7" ht="19.5" hidden="1" customHeight="1">
      <c r="A7" s="37"/>
      <c r="B7" s="25"/>
      <c r="C7" s="26"/>
      <c r="D7" s="27"/>
      <c r="E7" s="27"/>
      <c r="F7" s="28" t="s">
        <v>12</v>
      </c>
      <c r="G7" s="29" t="s">
        <v>13</v>
      </c>
      <c r="H7" s="30" t="s">
        <v>14</v>
      </c>
      <c r="I7" s="31" t="s">
        <v>12</v>
      </c>
      <c r="J7" s="32" t="s">
        <v>13</v>
      </c>
      <c r="K7" s="33" t="s">
        <v>14</v>
      </c>
      <c r="L7" s="34" t="s">
        <v>12</v>
      </c>
      <c r="M7" s="35" t="s">
        <v>13</v>
      </c>
      <c r="N7" s="36" t="s">
        <v>14</v>
      </c>
      <c r="O7" s="27"/>
      <c r="P7" s="27"/>
      <c r="Q7" s="43"/>
      <c r="R7" s="43"/>
      <c r="S7" s="43"/>
      <c r="T7" s="43"/>
      <c r="U7" s="43"/>
      <c r="V7" s="43"/>
      <c r="W7" s="43"/>
      <c r="X7" s="43"/>
    </row>
    <row r="8">
      <c r="A8" s="44"/>
      <c r="B8" s="45">
        <v>1.0</v>
      </c>
      <c r="C8" s="46" t="s">
        <v>16</v>
      </c>
      <c r="D8" s="47">
        <v>52858.0</v>
      </c>
      <c r="E8" s="48">
        <f>D8*70%</f>
        <v>37000.6</v>
      </c>
      <c r="F8" s="49">
        <v>846.0</v>
      </c>
      <c r="G8" s="50">
        <v>1572.0</v>
      </c>
      <c r="H8" s="51">
        <f t="shared" ref="H8:H10" si="2">SUM(F8:G8)</f>
        <v>2418</v>
      </c>
      <c r="I8" s="49"/>
      <c r="J8" s="50"/>
      <c r="K8" s="51">
        <f t="shared" ref="K8:K10" si="3">SUM(I8:J8)</f>
        <v>0</v>
      </c>
      <c r="L8" s="49">
        <f t="shared" ref="L8:M8" si="1">SUM(F8,I8)</f>
        <v>846</v>
      </c>
      <c r="M8" s="50">
        <f t="shared" si="1"/>
        <v>1572</v>
      </c>
      <c r="N8" s="51">
        <f t="shared" ref="N8:N10" si="5">SUM(L8:M8)</f>
        <v>2418</v>
      </c>
      <c r="O8" s="52">
        <f t="shared" ref="O8:O24" si="6">N8/E8*100</f>
        <v>6.535029162</v>
      </c>
      <c r="P8" s="52"/>
    </row>
    <row r="9">
      <c r="A9" s="44"/>
      <c r="B9" s="45">
        <v>2.0</v>
      </c>
      <c r="C9" s="53" t="s">
        <v>17</v>
      </c>
      <c r="D9" s="47">
        <v>52858.0</v>
      </c>
      <c r="E9" s="48">
        <v>37000.6</v>
      </c>
      <c r="F9" s="49">
        <v>897.0</v>
      </c>
      <c r="G9" s="50">
        <v>1700.0</v>
      </c>
      <c r="H9" s="51">
        <f t="shared" si="2"/>
        <v>2597</v>
      </c>
      <c r="I9" s="49"/>
      <c r="J9" s="50"/>
      <c r="K9" s="51">
        <f t="shared" si="3"/>
        <v>0</v>
      </c>
      <c r="L9" s="49">
        <f t="shared" ref="L9:M9" si="4">SUM(F9,I9)</f>
        <v>897</v>
      </c>
      <c r="M9" s="50">
        <f t="shared" si="4"/>
        <v>1700</v>
      </c>
      <c r="N9" s="51">
        <f t="shared" si="5"/>
        <v>2597</v>
      </c>
      <c r="O9" s="52">
        <f t="shared" si="6"/>
        <v>7.0188051</v>
      </c>
      <c r="P9" s="52"/>
    </row>
    <row r="10">
      <c r="A10" s="44"/>
      <c r="B10" s="45">
        <v>3.0</v>
      </c>
      <c r="C10" s="53" t="s">
        <v>18</v>
      </c>
      <c r="D10" s="47">
        <v>52858.0</v>
      </c>
      <c r="E10" s="48">
        <v>37000.6</v>
      </c>
      <c r="F10" s="49">
        <v>658.0</v>
      </c>
      <c r="G10" s="50">
        <v>1250.0</v>
      </c>
      <c r="H10" s="51">
        <f t="shared" si="2"/>
        <v>1908</v>
      </c>
      <c r="I10" s="49"/>
      <c r="J10" s="50"/>
      <c r="K10" s="51">
        <f t="shared" si="3"/>
        <v>0</v>
      </c>
      <c r="L10" s="49">
        <f t="shared" ref="L10:M10" si="7">SUM(F10,I10)</f>
        <v>658</v>
      </c>
      <c r="M10" s="50">
        <f t="shared" si="7"/>
        <v>1250</v>
      </c>
      <c r="N10" s="51">
        <f t="shared" si="5"/>
        <v>1908</v>
      </c>
      <c r="O10" s="52">
        <f t="shared" si="6"/>
        <v>5.156673135</v>
      </c>
      <c r="P10" s="52"/>
      <c r="R10" s="54"/>
      <c r="S10" s="54"/>
    </row>
    <row r="11">
      <c r="A11" s="44"/>
      <c r="B11" s="55">
        <v>4.0</v>
      </c>
      <c r="C11" s="56" t="s">
        <v>19</v>
      </c>
      <c r="D11" s="47">
        <v>52858.0</v>
      </c>
      <c r="E11" s="48">
        <v>37000.6</v>
      </c>
      <c r="F11" s="57">
        <f t="shared" ref="F11:N11" si="8">SUM(F8:F10)</f>
        <v>2401</v>
      </c>
      <c r="G11" s="58">
        <f t="shared" si="8"/>
        <v>4522</v>
      </c>
      <c r="H11" s="59">
        <f t="shared" si="8"/>
        <v>6923</v>
      </c>
      <c r="I11" s="57">
        <f t="shared" si="8"/>
        <v>0</v>
      </c>
      <c r="J11" s="58">
        <f t="shared" si="8"/>
        <v>0</v>
      </c>
      <c r="K11" s="59">
        <f t="shared" si="8"/>
        <v>0</v>
      </c>
      <c r="L11" s="57">
        <f t="shared" si="8"/>
        <v>2401</v>
      </c>
      <c r="M11" s="58">
        <f t="shared" si="8"/>
        <v>4522</v>
      </c>
      <c r="N11" s="59">
        <f t="shared" si="8"/>
        <v>6923</v>
      </c>
      <c r="O11" s="60">
        <f t="shared" si="6"/>
        <v>18.7105074</v>
      </c>
      <c r="P11" s="52"/>
    </row>
    <row r="12">
      <c r="A12" s="44"/>
      <c r="B12" s="45">
        <v>5.0</v>
      </c>
      <c r="C12" s="53" t="s">
        <v>20</v>
      </c>
      <c r="D12" s="47">
        <v>52858.0</v>
      </c>
      <c r="E12" s="48">
        <v>37000.6</v>
      </c>
      <c r="F12" s="49">
        <v>2144.0</v>
      </c>
      <c r="G12" s="50">
        <v>3178.0</v>
      </c>
      <c r="H12" s="51">
        <f t="shared" ref="H12:H14" si="10">SUM(F12:G12)</f>
        <v>5322</v>
      </c>
      <c r="I12" s="49"/>
      <c r="J12" s="50"/>
      <c r="K12" s="51">
        <f t="shared" ref="K12:K14" si="11">SUM(I12:J12)</f>
        <v>0</v>
      </c>
      <c r="L12" s="49">
        <f t="shared" ref="L12:M12" si="9">SUM(F12,I12)</f>
        <v>2144</v>
      </c>
      <c r="M12" s="50">
        <f t="shared" si="9"/>
        <v>3178</v>
      </c>
      <c r="N12" s="51">
        <f t="shared" ref="N12:N14" si="13">SUM(L12:M12)</f>
        <v>5322</v>
      </c>
      <c r="O12" s="52">
        <f t="shared" si="6"/>
        <v>14.38355054</v>
      </c>
      <c r="P12" s="52"/>
      <c r="R12" s="54"/>
      <c r="S12" s="54"/>
    </row>
    <row r="13">
      <c r="A13" s="44"/>
      <c r="B13" s="45">
        <v>6.0</v>
      </c>
      <c r="C13" s="53" t="s">
        <v>21</v>
      </c>
      <c r="D13" s="47">
        <v>52858.0</v>
      </c>
      <c r="E13" s="48">
        <v>37000.6</v>
      </c>
      <c r="F13" s="49">
        <v>2012.0</v>
      </c>
      <c r="G13" s="50">
        <v>2912.0</v>
      </c>
      <c r="H13" s="51">
        <f t="shared" si="10"/>
        <v>4924</v>
      </c>
      <c r="I13" s="49"/>
      <c r="J13" s="50"/>
      <c r="K13" s="51">
        <f t="shared" si="11"/>
        <v>0</v>
      </c>
      <c r="L13" s="49">
        <f t="shared" ref="L13:M13" si="12">SUM(F13,I13)</f>
        <v>2012</v>
      </c>
      <c r="M13" s="50">
        <f t="shared" si="12"/>
        <v>2912</v>
      </c>
      <c r="N13" s="51">
        <f t="shared" si="13"/>
        <v>4924</v>
      </c>
      <c r="O13" s="52">
        <f t="shared" si="6"/>
        <v>13.3078923</v>
      </c>
      <c r="P13" s="52"/>
    </row>
    <row r="14">
      <c r="A14" s="44"/>
      <c r="B14" s="61">
        <v>7.0</v>
      </c>
      <c r="C14" s="53" t="s">
        <v>22</v>
      </c>
      <c r="D14" s="47">
        <v>52858.0</v>
      </c>
      <c r="E14" s="48">
        <v>37000.6</v>
      </c>
      <c r="F14" s="49">
        <v>909.0</v>
      </c>
      <c r="G14" s="50">
        <v>2144.0</v>
      </c>
      <c r="H14" s="51">
        <f t="shared" si="10"/>
        <v>3053</v>
      </c>
      <c r="I14" s="49"/>
      <c r="J14" s="50"/>
      <c r="K14" s="51">
        <f t="shared" si="11"/>
        <v>0</v>
      </c>
      <c r="L14" s="49">
        <f t="shared" ref="L14:M14" si="14">SUM(F14,I14)</f>
        <v>909</v>
      </c>
      <c r="M14" s="50">
        <f t="shared" si="14"/>
        <v>2144</v>
      </c>
      <c r="N14" s="51">
        <f t="shared" si="13"/>
        <v>3053</v>
      </c>
      <c r="O14" s="52">
        <f t="shared" si="6"/>
        <v>8.251217548</v>
      </c>
      <c r="P14" s="52"/>
    </row>
    <row r="15">
      <c r="A15" s="44"/>
      <c r="B15" s="55">
        <v>8.0</v>
      </c>
      <c r="C15" s="56" t="s">
        <v>23</v>
      </c>
      <c r="D15" s="47">
        <v>52858.0</v>
      </c>
      <c r="E15" s="48">
        <v>37000.6</v>
      </c>
      <c r="F15" s="57">
        <f t="shared" ref="F15:N15" si="15">SUM(F12:F14)</f>
        <v>5065</v>
      </c>
      <c r="G15" s="58">
        <f t="shared" si="15"/>
        <v>8234</v>
      </c>
      <c r="H15" s="59">
        <f t="shared" si="15"/>
        <v>13299</v>
      </c>
      <c r="I15" s="57">
        <f t="shared" si="15"/>
        <v>0</v>
      </c>
      <c r="J15" s="58">
        <f t="shared" si="15"/>
        <v>0</v>
      </c>
      <c r="K15" s="59">
        <f t="shared" si="15"/>
        <v>0</v>
      </c>
      <c r="L15" s="57">
        <f t="shared" si="15"/>
        <v>5065</v>
      </c>
      <c r="M15" s="58">
        <f t="shared" si="15"/>
        <v>8234</v>
      </c>
      <c r="N15" s="59">
        <f t="shared" si="15"/>
        <v>13299</v>
      </c>
      <c r="O15" s="60">
        <f t="shared" si="6"/>
        <v>35.94266039</v>
      </c>
      <c r="P15" s="52"/>
    </row>
    <row r="16">
      <c r="A16" s="44"/>
      <c r="B16" s="45">
        <v>9.0</v>
      </c>
      <c r="C16" s="53" t="s">
        <v>24</v>
      </c>
      <c r="D16" s="47">
        <v>52858.0</v>
      </c>
      <c r="E16" s="48">
        <v>37000.6</v>
      </c>
      <c r="F16" s="49">
        <v>1018.0</v>
      </c>
      <c r="G16" s="50">
        <v>2108.0</v>
      </c>
      <c r="H16" s="51">
        <f t="shared" ref="H16:H18" si="17">SUM(F16:G16)</f>
        <v>3126</v>
      </c>
      <c r="I16" s="49"/>
      <c r="J16" s="50"/>
      <c r="K16" s="51">
        <f t="shared" ref="K16:K18" si="18">SUM(I16:J16)</f>
        <v>0</v>
      </c>
      <c r="L16" s="49">
        <f t="shared" ref="L16:M16" si="16">SUM(F16,I16)</f>
        <v>1018</v>
      </c>
      <c r="M16" s="50">
        <f t="shared" si="16"/>
        <v>2108</v>
      </c>
      <c r="N16" s="51">
        <f t="shared" ref="N16:N18" si="20">SUM(L16:M16)</f>
        <v>3126</v>
      </c>
      <c r="O16" s="52">
        <f t="shared" si="6"/>
        <v>8.448511646</v>
      </c>
      <c r="P16" s="52"/>
    </row>
    <row r="17">
      <c r="A17" s="44"/>
      <c r="B17" s="45">
        <v>10.0</v>
      </c>
      <c r="C17" s="53" t="s">
        <v>25</v>
      </c>
      <c r="D17" s="47">
        <v>52858.0</v>
      </c>
      <c r="E17" s="48">
        <v>37000.6</v>
      </c>
      <c r="F17" s="49">
        <v>2380.0</v>
      </c>
      <c r="G17" s="50">
        <v>3491.0</v>
      </c>
      <c r="H17" s="51">
        <f t="shared" si="17"/>
        <v>5871</v>
      </c>
      <c r="I17" s="49"/>
      <c r="J17" s="50"/>
      <c r="K17" s="51">
        <f t="shared" si="18"/>
        <v>0</v>
      </c>
      <c r="L17" s="49">
        <f t="shared" ref="L17:M17" si="19">SUM(F17,I17)</f>
        <v>2380</v>
      </c>
      <c r="M17" s="50">
        <f t="shared" si="19"/>
        <v>3491</v>
      </c>
      <c r="N17" s="51">
        <f t="shared" si="20"/>
        <v>5871</v>
      </c>
      <c r="O17" s="52">
        <f t="shared" si="6"/>
        <v>15.86731026</v>
      </c>
      <c r="P17" s="52"/>
    </row>
    <row r="18">
      <c r="A18" s="44"/>
      <c r="B18" s="45">
        <v>11.0</v>
      </c>
      <c r="C18" s="53" t="s">
        <v>26</v>
      </c>
      <c r="D18" s="47">
        <v>52858.0</v>
      </c>
      <c r="E18" s="48">
        <v>37000.6</v>
      </c>
      <c r="F18" s="49">
        <v>2409.0</v>
      </c>
      <c r="G18" s="50">
        <v>2656.0</v>
      </c>
      <c r="H18" s="51">
        <f t="shared" si="17"/>
        <v>5065</v>
      </c>
      <c r="I18" s="49"/>
      <c r="J18" s="50"/>
      <c r="K18" s="51">
        <f t="shared" si="18"/>
        <v>0</v>
      </c>
      <c r="L18" s="49">
        <f t="shared" ref="L18:M18" si="21">SUM(F18,I18)</f>
        <v>2409</v>
      </c>
      <c r="M18" s="50">
        <f t="shared" si="21"/>
        <v>2656</v>
      </c>
      <c r="N18" s="51">
        <f t="shared" si="20"/>
        <v>5065</v>
      </c>
      <c r="O18" s="52">
        <f t="shared" si="6"/>
        <v>13.68896721</v>
      </c>
      <c r="P18" s="52"/>
    </row>
    <row r="19" ht="15.75" customHeight="1">
      <c r="A19" s="44"/>
      <c r="B19" s="55">
        <v>12.0</v>
      </c>
      <c r="C19" s="56" t="s">
        <v>27</v>
      </c>
      <c r="D19" s="47">
        <v>52858.0</v>
      </c>
      <c r="E19" s="48">
        <v>37000.6</v>
      </c>
      <c r="F19" s="57">
        <f t="shared" ref="F19:N19" si="22">SUM(F16:F18)</f>
        <v>5807</v>
      </c>
      <c r="G19" s="58">
        <f t="shared" si="22"/>
        <v>8255</v>
      </c>
      <c r="H19" s="59">
        <f t="shared" si="22"/>
        <v>14062</v>
      </c>
      <c r="I19" s="57">
        <f t="shared" si="22"/>
        <v>0</v>
      </c>
      <c r="J19" s="58">
        <f t="shared" si="22"/>
        <v>0</v>
      </c>
      <c r="K19" s="59">
        <f t="shared" si="22"/>
        <v>0</v>
      </c>
      <c r="L19" s="57">
        <f t="shared" si="22"/>
        <v>5807</v>
      </c>
      <c r="M19" s="58">
        <f t="shared" si="22"/>
        <v>8255</v>
      </c>
      <c r="N19" s="59">
        <f t="shared" si="22"/>
        <v>14062</v>
      </c>
      <c r="O19" s="60">
        <f t="shared" si="6"/>
        <v>38.00478911</v>
      </c>
      <c r="P19" s="52"/>
    </row>
    <row r="20" ht="15.75" customHeight="1">
      <c r="A20" s="44"/>
      <c r="B20" s="45">
        <v>13.0</v>
      </c>
      <c r="C20" s="53" t="s">
        <v>28</v>
      </c>
      <c r="D20" s="47">
        <v>52858.0</v>
      </c>
      <c r="E20" s="48">
        <v>37000.6</v>
      </c>
      <c r="F20" s="49">
        <v>1228.0</v>
      </c>
      <c r="G20" s="50">
        <v>1434.0</v>
      </c>
      <c r="H20" s="51">
        <f t="shared" ref="H20:H22" si="24">SUM(F20:G20)</f>
        <v>2662</v>
      </c>
      <c r="I20" s="49"/>
      <c r="J20" s="50"/>
      <c r="K20" s="51">
        <f t="shared" ref="K20:K22" si="25">SUM(I20:J20)</f>
        <v>0</v>
      </c>
      <c r="L20" s="49">
        <f t="shared" ref="L20:M20" si="23">SUM(F20,I20)</f>
        <v>1228</v>
      </c>
      <c r="M20" s="50">
        <f t="shared" si="23"/>
        <v>1434</v>
      </c>
      <c r="N20" s="51">
        <f t="shared" ref="N20:N22" si="27">SUM(L20:M20)</f>
        <v>2662</v>
      </c>
      <c r="O20" s="52">
        <f t="shared" si="6"/>
        <v>7.194477927</v>
      </c>
      <c r="P20" s="52"/>
    </row>
    <row r="21" ht="15.75" customHeight="1">
      <c r="A21" s="44"/>
      <c r="B21" s="45">
        <v>14.0</v>
      </c>
      <c r="C21" s="53" t="s">
        <v>29</v>
      </c>
      <c r="D21" s="47">
        <v>52858.0</v>
      </c>
      <c r="E21" s="48">
        <v>37000.6</v>
      </c>
      <c r="F21" s="49">
        <v>263.0</v>
      </c>
      <c r="G21" s="50">
        <v>259.0</v>
      </c>
      <c r="H21" s="51">
        <f t="shared" si="24"/>
        <v>522</v>
      </c>
      <c r="I21" s="49"/>
      <c r="J21" s="50"/>
      <c r="K21" s="51">
        <f t="shared" si="25"/>
        <v>0</v>
      </c>
      <c r="L21" s="49">
        <f t="shared" ref="L21:M21" si="26">SUM(F21,I21)</f>
        <v>263</v>
      </c>
      <c r="M21" s="50">
        <f t="shared" si="26"/>
        <v>259</v>
      </c>
      <c r="N21" s="51">
        <f t="shared" si="27"/>
        <v>522</v>
      </c>
      <c r="O21" s="52">
        <f t="shared" si="6"/>
        <v>1.410787933</v>
      </c>
      <c r="P21" s="52"/>
    </row>
    <row r="22" ht="15.75" customHeight="1">
      <c r="A22" s="44"/>
      <c r="B22" s="45">
        <v>15.0</v>
      </c>
      <c r="C22" s="53" t="s">
        <v>30</v>
      </c>
      <c r="D22" s="47">
        <v>52858.0</v>
      </c>
      <c r="E22" s="48">
        <v>37000.6</v>
      </c>
      <c r="F22" s="49">
        <v>521.0</v>
      </c>
      <c r="G22" s="50">
        <v>574.0</v>
      </c>
      <c r="H22" s="51">
        <f t="shared" si="24"/>
        <v>1095</v>
      </c>
      <c r="I22" s="49"/>
      <c r="J22" s="50"/>
      <c r="K22" s="51">
        <f t="shared" si="25"/>
        <v>0</v>
      </c>
      <c r="L22" s="49">
        <f t="shared" ref="L22:M22" si="28">SUM(F22,I22)</f>
        <v>521</v>
      </c>
      <c r="M22" s="50">
        <f t="shared" si="28"/>
        <v>574</v>
      </c>
      <c r="N22" s="51">
        <f t="shared" si="27"/>
        <v>1095</v>
      </c>
      <c r="O22" s="52">
        <f t="shared" si="6"/>
        <v>2.959411469</v>
      </c>
      <c r="P22" s="52"/>
    </row>
    <row r="23" ht="15.75" customHeight="1">
      <c r="A23" s="44"/>
      <c r="B23" s="62">
        <v>16.0</v>
      </c>
      <c r="C23" s="63" t="s">
        <v>31</v>
      </c>
      <c r="D23" s="47">
        <v>52858.0</v>
      </c>
      <c r="E23" s="48">
        <v>37000.6</v>
      </c>
      <c r="F23" s="64">
        <f t="shared" ref="F23:N23" si="29">SUM(F20:F22)</f>
        <v>2012</v>
      </c>
      <c r="G23" s="65">
        <f t="shared" si="29"/>
        <v>2267</v>
      </c>
      <c r="H23" s="66">
        <f t="shared" si="29"/>
        <v>4279</v>
      </c>
      <c r="I23" s="64">
        <f t="shared" si="29"/>
        <v>0</v>
      </c>
      <c r="J23" s="65">
        <f t="shared" si="29"/>
        <v>0</v>
      </c>
      <c r="K23" s="66">
        <f t="shared" si="29"/>
        <v>0</v>
      </c>
      <c r="L23" s="64">
        <f t="shared" si="29"/>
        <v>2012</v>
      </c>
      <c r="M23" s="65">
        <f t="shared" si="29"/>
        <v>2267</v>
      </c>
      <c r="N23" s="66">
        <f t="shared" si="29"/>
        <v>4279</v>
      </c>
      <c r="O23" s="67">
        <f t="shared" si="6"/>
        <v>11.56467733</v>
      </c>
      <c r="P23" s="52"/>
    </row>
    <row r="24" ht="24.75" customHeight="1">
      <c r="A24" s="68"/>
      <c r="B24" s="69" t="s">
        <v>32</v>
      </c>
      <c r="C24" s="70"/>
      <c r="D24" s="71">
        <f t="shared" ref="D24:E24" si="30">D23</f>
        <v>52858</v>
      </c>
      <c r="E24" s="71">
        <f t="shared" si="30"/>
        <v>37000.6</v>
      </c>
      <c r="F24" s="72">
        <f t="shared" ref="F24:N24" si="31">SUM(F23,F19,F15,F11)</f>
        <v>15285</v>
      </c>
      <c r="G24" s="73">
        <f t="shared" si="31"/>
        <v>23278</v>
      </c>
      <c r="H24" s="74">
        <f t="shared" si="31"/>
        <v>38563</v>
      </c>
      <c r="I24" s="72">
        <f t="shared" si="31"/>
        <v>0</v>
      </c>
      <c r="J24" s="73">
        <f t="shared" si="31"/>
        <v>0</v>
      </c>
      <c r="K24" s="74">
        <f t="shared" si="31"/>
        <v>0</v>
      </c>
      <c r="L24" s="72">
        <f t="shared" si="31"/>
        <v>15285</v>
      </c>
      <c r="M24" s="73">
        <f t="shared" si="31"/>
        <v>23278</v>
      </c>
      <c r="N24" s="74">
        <f t="shared" si="31"/>
        <v>38563</v>
      </c>
      <c r="O24" s="75">
        <f t="shared" si="6"/>
        <v>104.2226342</v>
      </c>
      <c r="P24" s="76"/>
      <c r="Q24" s="77"/>
      <c r="R24" s="77"/>
      <c r="S24" s="77"/>
      <c r="T24" s="77"/>
      <c r="U24" s="77"/>
      <c r="V24" s="77"/>
      <c r="W24" s="77"/>
      <c r="X24" s="77"/>
    </row>
    <row r="25" ht="15.75" customHeight="1">
      <c r="A25" s="78"/>
      <c r="B25" s="78"/>
      <c r="C25" s="79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ht="15.75" customHeight="1">
      <c r="A26" s="78"/>
      <c r="B26" s="78"/>
      <c r="C26" s="79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ht="15.75" customHeight="1">
      <c r="A27" s="79"/>
      <c r="B27" s="79"/>
      <c r="C27" s="79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</row>
    <row r="28" ht="15.75" customHeight="1">
      <c r="A28" s="81"/>
      <c r="B28" s="81"/>
    </row>
    <row r="29" ht="15.75" customHeight="1">
      <c r="A29" s="81"/>
      <c r="B29" s="81"/>
    </row>
    <row r="30" ht="15.75" customHeight="1">
      <c r="A30" s="81"/>
      <c r="B30" s="81"/>
    </row>
    <row r="31" ht="15.75" customHeight="1">
      <c r="A31" s="81"/>
      <c r="B31" s="81"/>
    </row>
    <row r="32" ht="15.75" customHeight="1">
      <c r="A32" s="81"/>
      <c r="B32" s="81"/>
    </row>
    <row r="33" ht="15.75" customHeight="1">
      <c r="A33" s="81"/>
      <c r="B33" s="81"/>
    </row>
    <row r="34" ht="15.75" customHeight="1">
      <c r="A34" s="81"/>
      <c r="B34" s="81"/>
    </row>
    <row r="35" ht="15.75" customHeight="1">
      <c r="A35" s="81"/>
      <c r="B35" s="81"/>
    </row>
    <row r="36" ht="15.75" customHeight="1">
      <c r="A36" s="81"/>
      <c r="B36" s="81"/>
    </row>
    <row r="37" ht="15.75" customHeight="1">
      <c r="A37" s="81"/>
      <c r="B37" s="81"/>
    </row>
    <row r="38" ht="15.75" customHeight="1">
      <c r="A38" s="81"/>
      <c r="B38" s="81"/>
    </row>
    <row r="39" ht="15.75" customHeight="1">
      <c r="A39" s="81"/>
      <c r="B39" s="81"/>
    </row>
    <row r="40" ht="15.75" customHeight="1">
      <c r="A40" s="81"/>
      <c r="B40" s="81"/>
    </row>
    <row r="41" ht="15.75" customHeight="1">
      <c r="A41" s="81"/>
      <c r="B41" s="81"/>
    </row>
    <row r="42" ht="15.75" customHeight="1">
      <c r="A42" s="81"/>
      <c r="B42" s="81"/>
    </row>
    <row r="43" ht="15.75" customHeight="1">
      <c r="A43" s="81"/>
      <c r="B43" s="81"/>
    </row>
    <row r="44" ht="15.75" customHeight="1">
      <c r="A44" s="81"/>
      <c r="B44" s="81"/>
    </row>
    <row r="45" ht="15.75" customHeight="1">
      <c r="A45" s="81"/>
      <c r="B45" s="81"/>
    </row>
    <row r="46" ht="15.75" customHeight="1">
      <c r="A46" s="81"/>
      <c r="B46" s="81"/>
    </row>
    <row r="47" ht="15.75" customHeight="1">
      <c r="A47" s="81"/>
      <c r="B47" s="81"/>
    </row>
    <row r="48" ht="15.75" customHeight="1">
      <c r="A48" s="81"/>
      <c r="B48" s="81"/>
    </row>
    <row r="49" ht="15.75" customHeight="1">
      <c r="A49" s="81"/>
      <c r="B49" s="81"/>
    </row>
    <row r="50" ht="15.75" customHeight="1">
      <c r="A50" s="81"/>
      <c r="B50" s="81"/>
    </row>
    <row r="51" ht="15.75" customHeight="1">
      <c r="A51" s="81"/>
      <c r="B51" s="81"/>
    </row>
    <row r="52" ht="15.75" customHeight="1">
      <c r="A52" s="81"/>
      <c r="B52" s="81"/>
    </row>
    <row r="53" ht="15.75" customHeight="1">
      <c r="A53" s="81"/>
      <c r="B53" s="81"/>
    </row>
    <row r="54" ht="15.75" customHeight="1">
      <c r="A54" s="81"/>
      <c r="B54" s="81"/>
    </row>
    <row r="55" ht="15.75" customHeight="1">
      <c r="A55" s="81"/>
      <c r="B55" s="81"/>
    </row>
    <row r="56" ht="15.75" customHeight="1">
      <c r="A56" s="81"/>
      <c r="B56" s="81"/>
    </row>
    <row r="57" ht="15.75" customHeight="1">
      <c r="A57" s="81"/>
      <c r="B57" s="81"/>
    </row>
    <row r="58" ht="15.75" customHeight="1">
      <c r="A58" s="81"/>
      <c r="B58" s="81"/>
    </row>
    <row r="59" ht="15.75" customHeight="1">
      <c r="A59" s="81"/>
      <c r="B59" s="81"/>
    </row>
    <row r="60" ht="15.75" customHeight="1">
      <c r="A60" s="81"/>
      <c r="B60" s="81"/>
    </row>
    <row r="61" ht="15.75" customHeight="1">
      <c r="A61" s="81"/>
      <c r="B61" s="81"/>
    </row>
    <row r="62" ht="15.75" customHeight="1">
      <c r="A62" s="81"/>
      <c r="B62" s="81"/>
    </row>
    <row r="63" ht="15.75" customHeight="1">
      <c r="A63" s="81"/>
      <c r="B63" s="81"/>
    </row>
    <row r="64" ht="15.75" customHeight="1">
      <c r="A64" s="81"/>
      <c r="B64" s="81"/>
    </row>
    <row r="65" ht="15.75" customHeight="1">
      <c r="A65" s="81"/>
      <c r="B65" s="81"/>
    </row>
    <row r="66" ht="15.75" customHeight="1">
      <c r="A66" s="81"/>
      <c r="B66" s="81"/>
    </row>
    <row r="67" ht="15.75" customHeight="1">
      <c r="A67" s="81"/>
      <c r="B67" s="81"/>
    </row>
    <row r="68" ht="15.75" customHeight="1">
      <c r="A68" s="81"/>
      <c r="B68" s="81"/>
    </row>
    <row r="69" ht="15.75" customHeight="1">
      <c r="A69" s="81"/>
      <c r="B69" s="81"/>
    </row>
    <row r="70" ht="15.75" customHeight="1">
      <c r="A70" s="81"/>
      <c r="B70" s="81"/>
    </row>
    <row r="71" ht="15.75" customHeight="1">
      <c r="A71" s="81"/>
      <c r="B71" s="81"/>
    </row>
    <row r="72" ht="15.75" customHeight="1">
      <c r="A72" s="81"/>
      <c r="B72" s="81"/>
    </row>
    <row r="73" ht="15.75" customHeight="1">
      <c r="A73" s="81"/>
      <c r="B73" s="81"/>
    </row>
    <row r="74" ht="15.75" customHeight="1">
      <c r="A74" s="81"/>
      <c r="B74" s="81"/>
    </row>
    <row r="75" ht="15.75" customHeight="1">
      <c r="A75" s="81"/>
      <c r="B75" s="81"/>
    </row>
    <row r="76" ht="15.75" customHeight="1">
      <c r="A76" s="81"/>
      <c r="B76" s="81"/>
    </row>
    <row r="77" ht="15.75" customHeight="1">
      <c r="A77" s="81"/>
      <c r="B77" s="81"/>
    </row>
    <row r="78" ht="15.75" customHeight="1">
      <c r="A78" s="81"/>
      <c r="B78" s="81"/>
    </row>
    <row r="79" ht="15.75" customHeight="1">
      <c r="A79" s="81"/>
      <c r="B79" s="81"/>
    </row>
    <row r="80" ht="15.75" customHeight="1">
      <c r="A80" s="81"/>
      <c r="B80" s="81"/>
    </row>
    <row r="81" ht="15.75" customHeight="1">
      <c r="A81" s="81"/>
      <c r="B81" s="81"/>
    </row>
    <row r="82" ht="15.75" customHeight="1">
      <c r="A82" s="81"/>
      <c r="B82" s="81"/>
    </row>
    <row r="83" ht="15.75" customHeight="1">
      <c r="A83" s="81"/>
      <c r="B83" s="81"/>
    </row>
    <row r="84" ht="15.75" customHeight="1">
      <c r="A84" s="81"/>
      <c r="B84" s="81"/>
    </row>
    <row r="85" ht="15.75" customHeight="1">
      <c r="A85" s="81"/>
      <c r="B85" s="81"/>
    </row>
    <row r="86" ht="15.75" customHeight="1">
      <c r="A86" s="81"/>
      <c r="B86" s="81"/>
    </row>
    <row r="87" ht="15.75" customHeight="1">
      <c r="A87" s="81"/>
      <c r="B87" s="81"/>
    </row>
    <row r="88" ht="15.75" customHeight="1">
      <c r="A88" s="81"/>
      <c r="B88" s="81"/>
    </row>
    <row r="89" ht="15.75" customHeight="1">
      <c r="A89" s="81"/>
      <c r="B89" s="81"/>
    </row>
    <row r="90" ht="15.75" customHeight="1">
      <c r="A90" s="81"/>
      <c r="B90" s="81"/>
    </row>
    <row r="91" ht="15.75" customHeight="1">
      <c r="A91" s="81"/>
      <c r="B91" s="81"/>
    </row>
    <row r="92" ht="15.75" customHeight="1">
      <c r="A92" s="81"/>
      <c r="B92" s="81"/>
    </row>
    <row r="93" ht="15.75" customHeight="1">
      <c r="A93" s="81"/>
      <c r="B93" s="81"/>
    </row>
    <row r="94" ht="15.75" customHeight="1">
      <c r="A94" s="81"/>
      <c r="B94" s="81"/>
    </row>
    <row r="95" ht="15.75" customHeight="1">
      <c r="A95" s="81"/>
      <c r="B95" s="81"/>
    </row>
    <row r="96" ht="15.75" customHeight="1">
      <c r="A96" s="81"/>
      <c r="B96" s="81"/>
    </row>
    <row r="97" ht="15.75" customHeight="1">
      <c r="A97" s="81"/>
      <c r="B97" s="81"/>
    </row>
    <row r="98" ht="15.75" customHeight="1">
      <c r="A98" s="81"/>
      <c r="B98" s="81"/>
    </row>
    <row r="99" ht="15.75" customHeight="1">
      <c r="A99" s="81"/>
      <c r="B99" s="81"/>
    </row>
    <row r="100" ht="15.75" customHeight="1">
      <c r="A100" s="81"/>
      <c r="B100" s="81"/>
    </row>
    <row r="101" ht="15.75" customHeight="1">
      <c r="A101" s="81"/>
      <c r="B101" s="81"/>
    </row>
    <row r="102" ht="15.75" customHeight="1">
      <c r="A102" s="81"/>
      <c r="B102" s="81"/>
    </row>
    <row r="103" ht="15.75" customHeight="1">
      <c r="A103" s="81"/>
      <c r="B103" s="81"/>
    </row>
    <row r="104" ht="15.75" customHeight="1">
      <c r="A104" s="81"/>
      <c r="B104" s="81"/>
    </row>
    <row r="105" ht="15.75" customHeight="1">
      <c r="A105" s="81"/>
      <c r="B105" s="81"/>
    </row>
    <row r="106" ht="15.75" customHeight="1">
      <c r="A106" s="81"/>
      <c r="B106" s="81"/>
    </row>
    <row r="107" ht="15.75" customHeight="1">
      <c r="A107" s="81"/>
      <c r="B107" s="81"/>
    </row>
    <row r="108" ht="15.75" customHeight="1">
      <c r="A108" s="81"/>
      <c r="B108" s="81"/>
    </row>
    <row r="109" ht="15.75" customHeight="1">
      <c r="A109" s="81"/>
      <c r="B109" s="81"/>
    </row>
    <row r="110" ht="15.75" customHeight="1">
      <c r="A110" s="81"/>
      <c r="B110" s="81"/>
    </row>
    <row r="111" ht="15.75" customHeight="1">
      <c r="A111" s="81"/>
      <c r="B111" s="81"/>
    </row>
    <row r="112" ht="15.75" customHeight="1">
      <c r="A112" s="81"/>
      <c r="B112" s="81"/>
    </row>
    <row r="113" ht="15.75" customHeight="1">
      <c r="A113" s="81"/>
      <c r="B113" s="81"/>
    </row>
    <row r="114" ht="15.75" customHeight="1">
      <c r="A114" s="81"/>
      <c r="B114" s="81"/>
    </row>
    <row r="115" ht="15.75" customHeight="1">
      <c r="A115" s="81"/>
      <c r="B115" s="81"/>
    </row>
    <row r="116" ht="15.75" customHeight="1">
      <c r="A116" s="81"/>
      <c r="B116" s="81"/>
    </row>
    <row r="117" ht="15.75" customHeight="1">
      <c r="A117" s="81"/>
      <c r="B117" s="81"/>
    </row>
    <row r="118" ht="15.75" customHeight="1">
      <c r="A118" s="81"/>
      <c r="B118" s="81"/>
    </row>
    <row r="119" ht="15.75" customHeight="1">
      <c r="A119" s="81"/>
      <c r="B119" s="81"/>
    </row>
    <row r="120" ht="15.75" customHeight="1">
      <c r="A120" s="81"/>
      <c r="B120" s="81"/>
    </row>
    <row r="121" ht="15.75" customHeight="1">
      <c r="A121" s="81"/>
      <c r="B121" s="81"/>
    </row>
    <row r="122" ht="15.75" customHeight="1">
      <c r="A122" s="81"/>
      <c r="B122" s="81"/>
    </row>
    <row r="123" ht="15.75" customHeight="1">
      <c r="A123" s="81"/>
      <c r="B123" s="81"/>
    </row>
    <row r="124" ht="15.75" customHeight="1">
      <c r="A124" s="81"/>
      <c r="B124" s="81"/>
    </row>
    <row r="125" ht="15.75" customHeight="1">
      <c r="A125" s="81"/>
      <c r="B125" s="81"/>
    </row>
    <row r="126" ht="15.75" customHeight="1">
      <c r="A126" s="81"/>
      <c r="B126" s="81"/>
    </row>
    <row r="127" ht="15.75" customHeight="1">
      <c r="A127" s="81"/>
      <c r="B127" s="81"/>
    </row>
    <row r="128" ht="15.75" customHeight="1">
      <c r="A128" s="81"/>
      <c r="B128" s="81"/>
    </row>
    <row r="129" ht="15.75" customHeight="1">
      <c r="A129" s="81"/>
      <c r="B129" s="81"/>
    </row>
    <row r="130" ht="15.75" customHeight="1">
      <c r="A130" s="81"/>
      <c r="B130" s="81"/>
    </row>
    <row r="131" ht="15.75" customHeight="1">
      <c r="A131" s="81"/>
      <c r="B131" s="81"/>
    </row>
    <row r="132" ht="15.75" customHeight="1">
      <c r="A132" s="81"/>
      <c r="B132" s="81"/>
    </row>
    <row r="133" ht="15.75" customHeight="1">
      <c r="A133" s="81"/>
      <c r="B133" s="81"/>
    </row>
    <row r="134" ht="15.75" customHeight="1">
      <c r="A134" s="81"/>
      <c r="B134" s="81"/>
    </row>
    <row r="135" ht="15.75" customHeight="1">
      <c r="A135" s="81"/>
      <c r="B135" s="81"/>
    </row>
    <row r="136" ht="15.75" customHeight="1">
      <c r="A136" s="81"/>
      <c r="B136" s="81"/>
    </row>
    <row r="137" ht="15.75" customHeight="1">
      <c r="A137" s="81"/>
      <c r="B137" s="81"/>
    </row>
    <row r="138" ht="15.75" customHeight="1">
      <c r="A138" s="81"/>
      <c r="B138" s="81"/>
    </row>
    <row r="139" ht="15.75" customHeight="1">
      <c r="A139" s="81"/>
      <c r="B139" s="81"/>
    </row>
    <row r="140" ht="15.75" customHeight="1">
      <c r="A140" s="81"/>
      <c r="B140" s="81"/>
    </row>
    <row r="141" ht="15.75" customHeight="1">
      <c r="A141" s="81"/>
      <c r="B141" s="81"/>
    </row>
    <row r="142" ht="15.75" customHeight="1">
      <c r="A142" s="81"/>
      <c r="B142" s="81"/>
    </row>
    <row r="143" ht="15.75" customHeight="1">
      <c r="A143" s="81"/>
      <c r="B143" s="81"/>
    </row>
    <row r="144" ht="15.75" customHeight="1">
      <c r="A144" s="81"/>
      <c r="B144" s="81"/>
    </row>
    <row r="145" ht="15.75" customHeight="1">
      <c r="A145" s="81"/>
      <c r="B145" s="81"/>
    </row>
    <row r="146" ht="15.75" customHeight="1">
      <c r="A146" s="81"/>
      <c r="B146" s="81"/>
    </row>
    <row r="147" ht="15.75" customHeight="1">
      <c r="A147" s="81"/>
      <c r="B147" s="81"/>
    </row>
    <row r="148" ht="15.75" customHeight="1">
      <c r="A148" s="81"/>
      <c r="B148" s="81"/>
    </row>
    <row r="149" ht="15.75" customHeight="1">
      <c r="A149" s="81"/>
      <c r="B149" s="81"/>
    </row>
    <row r="150" ht="15.75" customHeight="1">
      <c r="A150" s="81"/>
      <c r="B150" s="81"/>
    </row>
    <row r="151" ht="15.75" customHeight="1">
      <c r="A151" s="81"/>
      <c r="B151" s="81"/>
    </row>
    <row r="152" ht="15.75" customHeight="1">
      <c r="A152" s="81"/>
      <c r="B152" s="81"/>
    </row>
    <row r="153" ht="15.75" customHeight="1">
      <c r="A153" s="81"/>
      <c r="B153" s="81"/>
    </row>
    <row r="154" ht="15.75" customHeight="1">
      <c r="A154" s="81"/>
      <c r="B154" s="81"/>
    </row>
    <row r="155" ht="15.75" customHeight="1">
      <c r="A155" s="81"/>
      <c r="B155" s="81"/>
    </row>
    <row r="156" ht="15.75" customHeight="1">
      <c r="A156" s="81"/>
      <c r="B156" s="81"/>
    </row>
    <row r="157" ht="15.75" customHeight="1">
      <c r="A157" s="81"/>
      <c r="B157" s="81"/>
    </row>
    <row r="158" ht="15.75" customHeight="1">
      <c r="A158" s="81"/>
      <c r="B158" s="81"/>
    </row>
    <row r="159" ht="15.75" customHeight="1">
      <c r="A159" s="81"/>
      <c r="B159" s="81"/>
    </row>
    <row r="160" ht="15.75" customHeight="1">
      <c r="A160" s="81"/>
      <c r="B160" s="81"/>
    </row>
    <row r="161" ht="15.75" customHeight="1">
      <c r="A161" s="81"/>
      <c r="B161" s="81"/>
    </row>
    <row r="162" ht="15.75" customHeight="1">
      <c r="A162" s="81"/>
      <c r="B162" s="81"/>
    </row>
    <row r="163" ht="15.75" customHeight="1">
      <c r="A163" s="81"/>
      <c r="B163" s="81"/>
    </row>
    <row r="164" ht="15.75" customHeight="1">
      <c r="A164" s="81"/>
      <c r="B164" s="81"/>
    </row>
    <row r="165" ht="15.75" customHeight="1">
      <c r="A165" s="81"/>
      <c r="B165" s="81"/>
    </row>
    <row r="166" ht="15.75" customHeight="1">
      <c r="A166" s="81"/>
      <c r="B166" s="81"/>
    </row>
    <row r="167" ht="15.75" customHeight="1">
      <c r="A167" s="81"/>
      <c r="B167" s="81"/>
    </row>
    <row r="168" ht="15.75" customHeight="1">
      <c r="A168" s="81"/>
      <c r="B168" s="81"/>
    </row>
    <row r="169" ht="15.75" customHeight="1">
      <c r="A169" s="81"/>
      <c r="B169" s="81"/>
    </row>
    <row r="170" ht="15.75" customHeight="1">
      <c r="A170" s="81"/>
      <c r="B170" s="81"/>
    </row>
    <row r="171" ht="15.75" customHeight="1">
      <c r="A171" s="81"/>
      <c r="B171" s="81"/>
    </row>
    <row r="172" ht="15.75" customHeight="1">
      <c r="A172" s="81"/>
      <c r="B172" s="81"/>
    </row>
    <row r="173" ht="15.75" customHeight="1">
      <c r="A173" s="81"/>
      <c r="B173" s="81"/>
    </row>
    <row r="174" ht="15.75" customHeight="1">
      <c r="A174" s="81"/>
      <c r="B174" s="81"/>
    </row>
    <row r="175" ht="15.75" customHeight="1">
      <c r="A175" s="81"/>
      <c r="B175" s="81"/>
    </row>
    <row r="176" ht="15.75" customHeight="1">
      <c r="A176" s="81"/>
      <c r="B176" s="81"/>
    </row>
    <row r="177" ht="15.75" customHeight="1">
      <c r="A177" s="81"/>
      <c r="B177" s="81"/>
    </row>
    <row r="178" ht="15.75" customHeight="1">
      <c r="A178" s="81"/>
      <c r="B178" s="81"/>
    </row>
    <row r="179" ht="15.75" customHeight="1">
      <c r="A179" s="81"/>
      <c r="B179" s="81"/>
    </row>
    <row r="180" ht="15.75" customHeight="1">
      <c r="A180" s="81"/>
      <c r="B180" s="81"/>
    </row>
    <row r="181" ht="15.75" customHeight="1">
      <c r="A181" s="81"/>
      <c r="B181" s="81"/>
    </row>
    <row r="182" ht="15.75" customHeight="1">
      <c r="A182" s="81"/>
      <c r="B182" s="81"/>
    </row>
    <row r="183" ht="15.75" customHeight="1">
      <c r="A183" s="81"/>
      <c r="B183" s="81"/>
    </row>
    <row r="184" ht="15.75" customHeight="1">
      <c r="A184" s="81"/>
      <c r="B184" s="81"/>
    </row>
    <row r="185" ht="15.75" customHeight="1">
      <c r="A185" s="81"/>
      <c r="B185" s="81"/>
    </row>
    <row r="186" ht="15.75" customHeight="1">
      <c r="A186" s="81"/>
      <c r="B186" s="81"/>
    </row>
    <row r="187" ht="15.75" customHeight="1">
      <c r="A187" s="81"/>
      <c r="B187" s="81"/>
    </row>
    <row r="188" ht="15.75" customHeight="1">
      <c r="A188" s="81"/>
      <c r="B188" s="81"/>
    </row>
    <row r="189" ht="15.75" customHeight="1">
      <c r="A189" s="81"/>
      <c r="B189" s="81"/>
    </row>
    <row r="190" ht="15.75" customHeight="1">
      <c r="A190" s="81"/>
      <c r="B190" s="81"/>
    </row>
    <row r="191" ht="15.75" customHeight="1">
      <c r="A191" s="81"/>
      <c r="B191" s="81"/>
    </row>
    <row r="192" ht="15.75" customHeight="1">
      <c r="A192" s="81"/>
      <c r="B192" s="81"/>
    </row>
    <row r="193" ht="15.75" customHeight="1">
      <c r="A193" s="81"/>
      <c r="B193" s="81"/>
    </row>
    <row r="194" ht="15.75" customHeight="1">
      <c r="A194" s="81"/>
      <c r="B194" s="81"/>
    </row>
    <row r="195" ht="15.75" customHeight="1">
      <c r="A195" s="81"/>
      <c r="B195" s="81"/>
    </row>
    <row r="196" ht="15.75" customHeight="1">
      <c r="A196" s="81"/>
      <c r="B196" s="81"/>
    </row>
    <row r="197" ht="15.75" customHeight="1">
      <c r="A197" s="81"/>
      <c r="B197" s="81"/>
    </row>
    <row r="198" ht="15.75" customHeight="1">
      <c r="A198" s="81"/>
      <c r="B198" s="81"/>
    </row>
    <row r="199" ht="15.75" customHeight="1">
      <c r="A199" s="81"/>
      <c r="B199" s="81"/>
    </row>
    <row r="200" ht="15.75" customHeight="1">
      <c r="A200" s="81"/>
      <c r="B200" s="81"/>
    </row>
    <row r="201" ht="15.75" customHeight="1">
      <c r="A201" s="81"/>
      <c r="B201" s="81"/>
    </row>
    <row r="202" ht="15.75" customHeight="1">
      <c r="A202" s="81"/>
      <c r="B202" s="81"/>
    </row>
    <row r="203" ht="15.75" customHeight="1">
      <c r="A203" s="81"/>
      <c r="B203" s="81"/>
    </row>
    <row r="204" ht="15.75" customHeight="1">
      <c r="A204" s="81"/>
      <c r="B204" s="81"/>
    </row>
    <row r="205" ht="15.75" customHeight="1">
      <c r="A205" s="81"/>
      <c r="B205" s="81"/>
    </row>
    <row r="206" ht="15.75" customHeight="1">
      <c r="A206" s="81"/>
      <c r="B206" s="81"/>
    </row>
    <row r="207" ht="15.75" customHeight="1">
      <c r="A207" s="81"/>
      <c r="B207" s="81"/>
    </row>
    <row r="208" ht="15.75" customHeight="1">
      <c r="A208" s="81"/>
      <c r="B208" s="81"/>
    </row>
    <row r="209" ht="15.75" customHeight="1">
      <c r="A209" s="81"/>
      <c r="B209" s="81"/>
    </row>
    <row r="210" ht="15.75" customHeight="1">
      <c r="A210" s="81"/>
      <c r="B210" s="81"/>
    </row>
    <row r="211" ht="15.75" customHeight="1">
      <c r="A211" s="81"/>
      <c r="B211" s="81"/>
    </row>
    <row r="212" ht="15.75" customHeight="1">
      <c r="A212" s="81"/>
      <c r="B212" s="81"/>
    </row>
    <row r="213" ht="15.75" customHeight="1">
      <c r="A213" s="81"/>
      <c r="B213" s="81"/>
    </row>
    <row r="214" ht="15.75" customHeight="1">
      <c r="A214" s="81"/>
      <c r="B214" s="81"/>
    </row>
    <row r="215" ht="15.75" customHeight="1">
      <c r="A215" s="81"/>
      <c r="B215" s="81"/>
    </row>
    <row r="216" ht="15.75" customHeight="1">
      <c r="A216" s="81"/>
      <c r="B216" s="81"/>
    </row>
    <row r="217" ht="15.75" customHeight="1">
      <c r="A217" s="81"/>
      <c r="B217" s="81"/>
    </row>
    <row r="218" ht="15.75" customHeight="1">
      <c r="A218" s="81"/>
      <c r="B218" s="81"/>
    </row>
    <row r="219" ht="15.75" customHeight="1">
      <c r="A219" s="81"/>
      <c r="B219" s="81"/>
    </row>
    <row r="220" ht="15.75" customHeight="1">
      <c r="A220" s="81"/>
      <c r="B220" s="81"/>
    </row>
    <row r="221" ht="15.75" customHeight="1">
      <c r="A221" s="81"/>
      <c r="B221" s="81"/>
    </row>
    <row r="222" ht="15.75" customHeight="1">
      <c r="A222" s="81"/>
      <c r="B222" s="81"/>
    </row>
    <row r="223" ht="15.75" customHeight="1">
      <c r="A223" s="81"/>
      <c r="B223" s="81"/>
    </row>
    <row r="224" ht="15.75" customHeight="1">
      <c r="A224" s="81"/>
      <c r="B224" s="8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9">
    <mergeCell ref="L4:N4"/>
    <mergeCell ref="O4:O5"/>
    <mergeCell ref="P4:P5"/>
    <mergeCell ref="L6:N6"/>
    <mergeCell ref="O6:O7"/>
    <mergeCell ref="P6:P7"/>
    <mergeCell ref="B6:B7"/>
    <mergeCell ref="C6:C7"/>
    <mergeCell ref="D6:D7"/>
    <mergeCell ref="E6:E7"/>
    <mergeCell ref="F6:H6"/>
    <mergeCell ref="I6:K6"/>
    <mergeCell ref="B24:C24"/>
    <mergeCell ref="B4:B5"/>
    <mergeCell ref="C4:C5"/>
    <mergeCell ref="D4:D5"/>
    <mergeCell ref="E4:E5"/>
    <mergeCell ref="F4:H4"/>
    <mergeCell ref="I4:K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82" t="s">
        <v>33</v>
      </c>
      <c r="B1" s="83"/>
      <c r="C1" s="84"/>
      <c r="D1" s="84"/>
      <c r="E1" s="84"/>
      <c r="F1" s="84"/>
      <c r="G1" s="84"/>
      <c r="H1" s="84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>
      <c r="A2" s="86"/>
      <c r="C2" s="87" t="s">
        <v>34</v>
      </c>
      <c r="D2" s="84"/>
      <c r="E2" s="84"/>
      <c r="F2" s="84"/>
      <c r="G2" s="84"/>
      <c r="H2" s="84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>
      <c r="A3" s="86"/>
      <c r="C3" s="87" t="s">
        <v>35</v>
      </c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ht="31.5" customHeight="1">
      <c r="A4" s="88" t="s">
        <v>36</v>
      </c>
      <c r="B4" s="89"/>
      <c r="C4" s="84"/>
      <c r="D4" s="84"/>
      <c r="E4" s="84"/>
      <c r="F4" s="84"/>
      <c r="G4" s="84"/>
      <c r="H4" s="84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6">
      <c r="A6" s="90"/>
      <c r="B6" s="91" t="s">
        <v>37</v>
      </c>
      <c r="C6" s="92" t="s">
        <v>38</v>
      </c>
      <c r="D6" s="93"/>
      <c r="E6" s="93"/>
      <c r="F6" s="93"/>
      <c r="G6" s="93"/>
      <c r="H6" s="93"/>
      <c r="I6" s="94"/>
      <c r="J6" s="90"/>
      <c r="K6" s="90"/>
      <c r="L6" s="90"/>
      <c r="M6" s="90"/>
      <c r="N6" s="90"/>
      <c r="O6" s="90"/>
      <c r="P6" s="90"/>
      <c r="Q6" s="90"/>
    </row>
    <row r="7">
      <c r="A7" s="95"/>
      <c r="B7" s="96"/>
      <c r="C7" s="97" t="s">
        <v>39</v>
      </c>
      <c r="D7" s="97" t="s">
        <v>40</v>
      </c>
      <c r="E7" s="97" t="s">
        <v>41</v>
      </c>
      <c r="F7" s="97" t="s">
        <v>42</v>
      </c>
      <c r="G7" s="97" t="s">
        <v>43</v>
      </c>
      <c r="H7" s="97" t="s">
        <v>44</v>
      </c>
      <c r="I7" s="97" t="s">
        <v>45</v>
      </c>
      <c r="J7" s="95"/>
      <c r="K7" s="95"/>
      <c r="L7" s="95"/>
      <c r="M7" s="95"/>
      <c r="N7" s="95"/>
      <c r="O7" s="95"/>
      <c r="P7" s="95"/>
      <c r="Q7" s="95"/>
    </row>
    <row r="8">
      <c r="A8" s="90"/>
      <c r="B8" s="98"/>
      <c r="C8" s="99">
        <v>1.0</v>
      </c>
      <c r="D8" s="99">
        <v>2.0</v>
      </c>
      <c r="E8" s="99">
        <v>3.0</v>
      </c>
      <c r="F8" s="99">
        <v>4.0</v>
      </c>
      <c r="G8" s="99">
        <v>5.0</v>
      </c>
      <c r="H8" s="99">
        <v>6.0</v>
      </c>
      <c r="I8" s="99">
        <v>7.0</v>
      </c>
      <c r="J8" s="100"/>
      <c r="K8" s="100"/>
      <c r="L8" s="100"/>
      <c r="M8" s="100"/>
      <c r="N8" s="100"/>
      <c r="O8" s="100"/>
      <c r="P8" s="100"/>
      <c r="Q8" s="90"/>
    </row>
    <row r="9">
      <c r="B9" s="101" t="str">
        <f>'SPM-Uspro'!$C$13</f>
        <v>#REF!</v>
      </c>
      <c r="C9" s="102">
        <f>IFERROR(__xludf.DUMMYFUNCTION("IMPORTRANGE(""https://docs.google.com/spreadsheets/d/1P0UTisakTE5EAx-MYEjY2DmhSnLNqqRm6P3NrlYXL2I/edit#gid=1892753874"",""Rekap KTR!$E$6"")"),6.0)</f>
        <v>6</v>
      </c>
      <c r="D9" s="102">
        <f>IFERROR(__xludf.DUMMYFUNCTION("IMPORTRANGE(""https://docs.google.com/spreadsheets/d/1P0UTisakTE5EAx-MYEjY2DmhSnLNqqRm6P3NrlYXL2I/edit#gid=1892753874"",""Rekap KTR!$E$7"")"),26.0)</f>
        <v>26</v>
      </c>
      <c r="E9" s="102">
        <f>IFERROR(__xludf.DUMMYFUNCTION("IMPORTRANGE(""https://docs.google.com/spreadsheets/d/1P0UTisakTE5EAx-MYEjY2DmhSnLNqqRm6P3NrlYXL2I/edit#gid=1892753874"",""Rekap KTR!$E$8"")"),56.0)</f>
        <v>56</v>
      </c>
      <c r="F9" s="102">
        <f>IFERROR(__xludf.DUMMYFUNCTION("IMPORTRANGE(""https://docs.google.com/spreadsheets/d/1P0UTisakTE5EAx-MYEjY2DmhSnLNqqRm6P3NrlYXL2I/edit#gid=1892753874"",""Rekap KTR!$E$9"")"),8.0)</f>
        <v>8</v>
      </c>
      <c r="G9" s="102">
        <f>IFERROR(__xludf.DUMMYFUNCTION("IMPORTRANGE(""https://docs.google.com/spreadsheets/d/1P0UTisakTE5EAx-MYEjY2DmhSnLNqqRm6P3NrlYXL2I/edit#gid=1892753874"",""Rekap KTR!$E$10"")"),0.0)</f>
        <v>0</v>
      </c>
      <c r="H9" s="102">
        <f>IFERROR(__xludf.DUMMYFUNCTION("IMPORTRANGE(""https://docs.google.com/spreadsheets/d/1P0UTisakTE5EAx-MYEjY2DmhSnLNqqRm6P3NrlYXL2I/edit#gid=1892753874"",""Rekap KTR!$E$11"")"),8.0)</f>
        <v>8</v>
      </c>
      <c r="I9" s="102">
        <f>IFERROR(__xludf.DUMMYFUNCTION("IMPORTRANGE(""https://docs.google.com/spreadsheets/d/1P0UTisakTE5EAx-MYEjY2DmhSnLNqqRm6P3NrlYXL2I/edit#gid=1892753874"",""Rekap KTR!$E$12"")"),0.0)</f>
        <v>0</v>
      </c>
    </row>
    <row r="10">
      <c r="B10" s="101" t="str">
        <f>'SPM-Uspro'!$C$14</f>
        <v>#REF!</v>
      </c>
      <c r="C10" s="102">
        <f>IFERROR(__xludf.DUMMYFUNCTION("IMPORTRANGE(""https://docs.google.com/spreadsheets/d/1jB-UnyPBzGq1HOZkIVtft_Wo28OEKcZNsVgS5r_boTE/edit#gid=1522333227"",""Rekap KTR!$E$6"")"),12.0)</f>
        <v>12</v>
      </c>
      <c r="D10" s="102">
        <f>IFERROR(__xludf.DUMMYFUNCTION("IMPORTRANGE(""https://docs.google.com/spreadsheets/d/1jB-UnyPBzGq1HOZkIVtft_Wo28OEKcZNsVgS5r_boTE/edit#gid=1522333227"",""Rekap KTR!$E$7"")"),53.0)</f>
        <v>53</v>
      </c>
      <c r="E10" s="102">
        <f>IFERROR(__xludf.DUMMYFUNCTION("IMPORTRANGE(""https://docs.google.com/spreadsheets/d/1jB-UnyPBzGq1HOZkIVtft_Wo28OEKcZNsVgS5r_boTE/edit#gid=1522333227"",""Rekap KTR!$E$8"")"),56.0)</f>
        <v>56</v>
      </c>
      <c r="F10" s="102" t="str">
        <f>IFERROR(__xludf.DUMMYFUNCTION("IMPORTRANGE(""https://docs.google.com/spreadsheets/d/1jB-UnyPBzGq1HOZkIVtft_Wo28OEKcZNsVgS5r_boTE/edit#gid=1522333227"",""Rekap KTR!$E$9"")"),"")</f>
        <v/>
      </c>
      <c r="G10" s="102">
        <f>IFERROR(__xludf.DUMMYFUNCTION("IMPORTRANGE(""https://docs.google.com/spreadsheets/d/1jB-UnyPBzGq1HOZkIVtft_Wo28OEKcZNsVgS5r_boTE/edit#gid=1522333227"",""Rekap KTR!$E$10"")"),0.0)</f>
        <v>0</v>
      </c>
      <c r="H10" s="102" t="str">
        <f>IFERROR(__xludf.DUMMYFUNCTION("IMPORTRANGE(""https://docs.google.com/spreadsheets/d/1jB-UnyPBzGq1HOZkIVtft_Wo28OEKcZNsVgS5r_boTE/edit#gid=1522333227"",""Rekap KTR!$E$11"")"),"")</f>
        <v/>
      </c>
      <c r="I10" s="102">
        <f>IFERROR(__xludf.DUMMYFUNCTION("IMPORTRANGE(""https://docs.google.com/spreadsheets/d/1jB-UnyPBzGq1HOZkIVtft_Wo28OEKcZNsVgS5r_boTE/edit#gid=1522333227"",""Rekap KTR!$E$12"")"),0.0)</f>
        <v>0</v>
      </c>
    </row>
    <row r="11">
      <c r="B11" s="101" t="str">
        <f>'SPM-Uspro'!$C$15</f>
        <v>#REF!</v>
      </c>
      <c r="C11" s="102">
        <f>IFERROR(__xludf.DUMMYFUNCTION("IMPORTRANGE(""https://docs.google.com/spreadsheets/d/1gHFrRpJ5fnyxfJI-jxT5z1B1L7rSV8E5sIZEN90Rfhc/edit#gid=1522333227"",""Rekap KTR!$E$6"")"),4.0)</f>
        <v>4</v>
      </c>
      <c r="D11" s="102">
        <f>IFERROR(__xludf.DUMMYFUNCTION("IMPORTRANGE(""https://docs.google.com/spreadsheets/d/1gHFrRpJ5fnyxfJI-jxT5z1B1L7rSV8E5sIZEN90Rfhc/edit#gid=1522333227"",""Rekap KTR!$E$7"")"),29.0)</f>
        <v>29</v>
      </c>
      <c r="E11" s="102">
        <f>IFERROR(__xludf.DUMMYFUNCTION("IMPORTRANGE(""https://docs.google.com/spreadsheets/d/1gHFrRpJ5fnyxfJI-jxT5z1B1L7rSV8E5sIZEN90Rfhc/edit#gid=1522333227"",""Rekap KTR!$E$8"")"),31.0)</f>
        <v>31</v>
      </c>
      <c r="F11" s="102" t="str">
        <f>IFERROR(__xludf.DUMMYFUNCTION("IMPORTRANGE(""https://docs.google.com/spreadsheets/d/1gHFrRpJ5fnyxfJI-jxT5z1B1L7rSV8E5sIZEN90Rfhc/edit#gid=1522333227"",""Rekap KTR!$E$9"")"),"")</f>
        <v/>
      </c>
      <c r="G11" s="102" t="str">
        <f>IFERROR(__xludf.DUMMYFUNCTION("IMPORTRANGE(""https://docs.google.com/spreadsheets/d/1gHFrRpJ5fnyxfJI-jxT5z1B1L7rSV8E5sIZEN90Rfhc/edit#gid=1522333227"",""Rekap KTR!$E$10"")"),"")</f>
        <v/>
      </c>
      <c r="H11" s="102" t="str">
        <f>IFERROR(__xludf.DUMMYFUNCTION("IMPORTRANGE(""https://docs.google.com/spreadsheets/d/1gHFrRpJ5fnyxfJI-jxT5z1B1L7rSV8E5sIZEN90Rfhc/edit#gid=1522333227"",""Rekap KTR!$E$11"")"),"")</f>
        <v/>
      </c>
      <c r="I11" s="102" t="str">
        <f>IFERROR(__xludf.DUMMYFUNCTION("IMPORTRANGE(""https://docs.google.com/spreadsheets/d/1gHFrRpJ5fnyxfJI-jxT5z1B1L7rSV8E5sIZEN90Rfhc/edit#gid=1522333227"",""Rekap KTR!$E$12"")"),"")</f>
        <v/>
      </c>
    </row>
    <row r="12">
      <c r="B12" s="101" t="str">
        <f>'SPM-Uspro'!$C$16</f>
        <v>#REF!</v>
      </c>
      <c r="C12" s="102">
        <f>IFERROR(__xludf.DUMMYFUNCTION("IMPORTRANGE(""https://docs.google.com/spreadsheets/d/1saC2UP2JuYJ7WRPxjh8EMf_BSfGZ18Ous8sVKGLr-Ng/edit#gid=1892753874"",""Rekap KTR!$E$6"")"),8.0)</f>
        <v>8</v>
      </c>
      <c r="D12" s="102">
        <f>IFERROR(__xludf.DUMMYFUNCTION("IMPORTRANGE(""https://docs.google.com/spreadsheets/d/1saC2UP2JuYJ7WRPxjh8EMf_BSfGZ18Ous8sVKGLr-Ng/edit#gid=1892753874"",""Rekap KTR!$E$7"")"),41.0)</f>
        <v>41</v>
      </c>
      <c r="E12" s="102">
        <f>IFERROR(__xludf.DUMMYFUNCTION("IMPORTRANGE(""https://docs.google.com/spreadsheets/d/1saC2UP2JuYJ7WRPxjh8EMf_BSfGZ18Ous8sVKGLr-Ng/edit#gid=1892753874"",""Rekap KTR!$E$8"")"),41.0)</f>
        <v>41</v>
      </c>
      <c r="F12" s="102">
        <f>IFERROR(__xludf.DUMMYFUNCTION("IMPORTRANGE(""https://docs.google.com/spreadsheets/d/1saC2UP2JuYJ7WRPxjh8EMf_BSfGZ18Ous8sVKGLr-Ng/edit#gid=1892753874"",""Rekap KTR!$E$9"")"),14.0)</f>
        <v>14</v>
      </c>
      <c r="G12" s="102">
        <f>IFERROR(__xludf.DUMMYFUNCTION("IMPORTRANGE(""https://docs.google.com/spreadsheets/d/1saC2UP2JuYJ7WRPxjh8EMf_BSfGZ18Ous8sVKGLr-Ng/edit#gid=1892753874"",""Rekap KTR!$E$10"")"),0.0)</f>
        <v>0</v>
      </c>
      <c r="H12" s="102">
        <f>IFERROR(__xludf.DUMMYFUNCTION("IMPORTRANGE(""https://docs.google.com/spreadsheets/d/1saC2UP2JuYJ7WRPxjh8EMf_BSfGZ18Ous8sVKGLr-Ng/edit#gid=1892753874"",""Rekap KTR!$E$11"")"),0.0)</f>
        <v>0</v>
      </c>
      <c r="I12" s="102">
        <f>IFERROR(__xludf.DUMMYFUNCTION("IMPORTRANGE(""https://docs.google.com/spreadsheets/d/1saC2UP2JuYJ7WRPxjh8EMf_BSfGZ18Ous8sVKGLr-Ng/edit#gid=1892753874"",""Rekap KTR!$E$12"")"),0.0)</f>
        <v>0</v>
      </c>
    </row>
    <row r="13">
      <c r="B13" s="101" t="str">
        <f>'SPM-Uspro'!$C$17</f>
        <v>#REF!</v>
      </c>
      <c r="C13" s="102">
        <f>IFERROR(__xludf.DUMMYFUNCTION("IMPORTRANGE(""https://docs.google.com/spreadsheets/d/1ApPPV7RPuDI1EDOKjkoDXkV5Yd_NofeQTYTtAHUYGGw/edit#gid=1522333227"",""Rekap KTR!$E$6"")"),3.0)</f>
        <v>3</v>
      </c>
      <c r="D13" s="102">
        <f>IFERROR(__xludf.DUMMYFUNCTION("IMPORTRANGE(""https://docs.google.com/spreadsheets/d/1ApPPV7RPuDI1EDOKjkoDXkV5Yd_NofeQTYTtAHUYGGw/edit#gid=1522333227"",""Rekap KTR!$E$7"")"),20.0)</f>
        <v>20</v>
      </c>
      <c r="E13" s="102">
        <f>IFERROR(__xludf.DUMMYFUNCTION("IMPORTRANGE(""https://docs.google.com/spreadsheets/d/1ApPPV7RPuDI1EDOKjkoDXkV5Yd_NofeQTYTtAHUYGGw/edit#gid=1522333227"",""Rekap KTR!$E$8"")"),6.0)</f>
        <v>6</v>
      </c>
      <c r="F13" s="102" t="str">
        <f>IFERROR(__xludf.DUMMYFUNCTION("IMPORTRANGE(""https://docs.google.com/spreadsheets/d/1ApPPV7RPuDI1EDOKjkoDXkV5Yd_NofeQTYTtAHUYGGw/edit#gid=1522333227"",""Rekap KTR!$E$9"")"),"")</f>
        <v/>
      </c>
      <c r="G13" s="102" t="str">
        <f>IFERROR(__xludf.DUMMYFUNCTION("IMPORTRANGE(""https://docs.google.com/spreadsheets/d/1ApPPV7RPuDI1EDOKjkoDXkV5Yd_NofeQTYTtAHUYGGw/edit#gid=1522333227"",""Rekap KTR!$E$10"")"),"")</f>
        <v/>
      </c>
      <c r="H13" s="102" t="str">
        <f>IFERROR(__xludf.DUMMYFUNCTION("IMPORTRANGE(""https://docs.google.com/spreadsheets/d/1ApPPV7RPuDI1EDOKjkoDXkV5Yd_NofeQTYTtAHUYGGw/edit#gid=1522333227"",""Rekap KTR!$E$11"")"),"")</f>
        <v/>
      </c>
      <c r="I13" s="102" t="str">
        <f>IFERROR(__xludf.DUMMYFUNCTION("IMPORTRANGE(""https://docs.google.com/spreadsheets/d/1ApPPV7RPuDI1EDOKjkoDXkV5Yd_NofeQTYTtAHUYGGw/edit#gid=1522333227"",""Rekap KTR!$E$12"")"),"")</f>
        <v/>
      </c>
    </row>
    <row r="14">
      <c r="B14" s="101" t="str">
        <f>'SPM-Uspro'!$C$18</f>
        <v>#REF!</v>
      </c>
      <c r="C14" s="102">
        <f>IFERROR(__xludf.DUMMYFUNCTION("IMPORTRANGE(""https://docs.google.com/spreadsheets/d/1iV_nqIfkAdyO_vl_QARxWbfnGcK2KlCCS94aVJ2QbTI/edit#gid=1522333227"",""Rekap KTR!$E$6"")"),6.0)</f>
        <v>6</v>
      </c>
      <c r="D14" s="102">
        <f>IFERROR(__xludf.DUMMYFUNCTION("IMPORTRANGE(""https://docs.google.com/spreadsheets/d/1iV_nqIfkAdyO_vl_QARxWbfnGcK2KlCCS94aVJ2QbTI/edit#gid=1522333227"",""Rekap KTR!$E$7"")"),26.0)</f>
        <v>26</v>
      </c>
      <c r="E14" s="102">
        <f>IFERROR(__xludf.DUMMYFUNCTION("IMPORTRANGE(""https://docs.google.com/spreadsheets/d/1iV_nqIfkAdyO_vl_QARxWbfnGcK2KlCCS94aVJ2QbTI/edit#gid=1522333227"",""Rekap KTR!$E$8"")"),13.0)</f>
        <v>13</v>
      </c>
      <c r="F14" s="102">
        <f>IFERROR(__xludf.DUMMYFUNCTION("IMPORTRANGE(""https://docs.google.com/spreadsheets/d/1iV_nqIfkAdyO_vl_QARxWbfnGcK2KlCCS94aVJ2QbTI/edit#gid=1522333227"",""Rekap KTR!$E$9"")"),0.0)</f>
        <v>0</v>
      </c>
      <c r="G14" s="102">
        <f>IFERROR(__xludf.DUMMYFUNCTION("IMPORTRANGE(""https://docs.google.com/spreadsheets/d/1iV_nqIfkAdyO_vl_QARxWbfnGcK2KlCCS94aVJ2QbTI/edit#gid=1522333227"",""Rekap KTR!$E$10"")"),0.0)</f>
        <v>0</v>
      </c>
      <c r="H14" s="102">
        <f>IFERROR(__xludf.DUMMYFUNCTION("IMPORTRANGE(""https://docs.google.com/spreadsheets/d/1iV_nqIfkAdyO_vl_QARxWbfnGcK2KlCCS94aVJ2QbTI/edit#gid=1522333227"",""Rekap KTR!$E$11"")"),0.0)</f>
        <v>0</v>
      </c>
      <c r="I14" s="102">
        <f>IFERROR(__xludf.DUMMYFUNCTION("IMPORTRANGE(""https://docs.google.com/spreadsheets/d/1iV_nqIfkAdyO_vl_QARxWbfnGcK2KlCCS94aVJ2QbTI/edit#gid=1522333227"",""Rekap KTR!$E$12"")"),0.0)</f>
        <v>0</v>
      </c>
    </row>
    <row r="15">
      <c r="B15" s="101" t="str">
        <f>'SPM-Uspro'!$C$19</f>
        <v>#REF!</v>
      </c>
      <c r="C15" s="102">
        <f>IFERROR(__xludf.DUMMYFUNCTION("IMPORTRANGE(""https://docs.google.com/spreadsheets/d/1zz70Lj6oBg1MOPSG6KJcsMeqBNtXMHYICRkg7kpt_d0/edit#gid=1892753874"",""Rekap KTR!$E$6"")"),9.0)</f>
        <v>9</v>
      </c>
      <c r="D15" s="102">
        <f>IFERROR(__xludf.DUMMYFUNCTION("IMPORTRANGE(""https://docs.google.com/spreadsheets/d/1zz70Lj6oBg1MOPSG6KJcsMeqBNtXMHYICRkg7kpt_d0/edit#gid=1892753874"",""Rekap KTR!$E$7"")"),47.0)</f>
        <v>47</v>
      </c>
      <c r="E15" s="102">
        <f>IFERROR(__xludf.DUMMYFUNCTION("IMPORTRANGE(""https://docs.google.com/spreadsheets/d/1zz70Lj6oBg1MOPSG6KJcsMeqBNtXMHYICRkg7kpt_d0/edit#gid=1892753874"",""Rekap KTR!$E$8"")"),29.0)</f>
        <v>29</v>
      </c>
      <c r="F15" s="102">
        <f>IFERROR(__xludf.DUMMYFUNCTION("IMPORTRANGE(""https://docs.google.com/spreadsheets/d/1zz70Lj6oBg1MOPSG6KJcsMeqBNtXMHYICRkg7kpt_d0/edit#gid=1892753874"",""Rekap KTR!$E$9"")"),3.0)</f>
        <v>3</v>
      </c>
      <c r="G15" s="102">
        <f>IFERROR(__xludf.DUMMYFUNCTION("IMPORTRANGE(""https://docs.google.com/spreadsheets/d/1zz70Lj6oBg1MOPSG6KJcsMeqBNtXMHYICRkg7kpt_d0/edit#gid=1892753874"",""Rekap KTR!$E$10"")"),1.0)</f>
        <v>1</v>
      </c>
      <c r="H15" s="102">
        <f>IFERROR(__xludf.DUMMYFUNCTION("IMPORTRANGE(""https://docs.google.com/spreadsheets/d/1zz70Lj6oBg1MOPSG6KJcsMeqBNtXMHYICRkg7kpt_d0/edit#gid=1892753874"",""Rekap KTR!$E$11"")"),4.0)</f>
        <v>4</v>
      </c>
      <c r="I15" s="102">
        <f>IFERROR(__xludf.DUMMYFUNCTION("IMPORTRANGE(""https://docs.google.com/spreadsheets/d/1zz70Lj6oBg1MOPSG6KJcsMeqBNtXMHYICRkg7kpt_d0/edit#gid=1892753874"",""Rekap KTR!$E$12"")"),4.0)</f>
        <v>4</v>
      </c>
    </row>
    <row r="16">
      <c r="B16" s="101" t="str">
        <f>'SPM-Uspro'!$C$20</f>
        <v>#REF!</v>
      </c>
      <c r="C16" s="102">
        <f>IFERROR(__xludf.DUMMYFUNCTION("IMPORTRANGE(""https://docs.google.com/spreadsheets/d/1773f1iHRnXhbrVjAHR7zUpu3neZdvtp1a2ikB9LJu8U/edit#gid=1522333227"",""Rekap KTR!$E$6"")"),39.0)</f>
        <v>39</v>
      </c>
      <c r="D16" s="102">
        <f>IFERROR(__xludf.DUMMYFUNCTION("IMPORTRANGE(""https://docs.google.com/spreadsheets/d/1773f1iHRnXhbrVjAHR7zUpu3neZdvtp1a2ikB9LJu8U/edit#gid=1522333227"",""Rekap KTR!$E$7"")"),43.0)</f>
        <v>43</v>
      </c>
      <c r="E16" s="102">
        <f>IFERROR(__xludf.DUMMYFUNCTION("IMPORTRANGE(""https://docs.google.com/spreadsheets/d/1773f1iHRnXhbrVjAHR7zUpu3neZdvtp1a2ikB9LJu8U/edit#gid=1522333227"",""Rekap KTR!$E$8"")"),32.0)</f>
        <v>32</v>
      </c>
      <c r="F16" s="102">
        <f>IFERROR(__xludf.DUMMYFUNCTION("IMPORTRANGE(""https://docs.google.com/spreadsheets/d/1773f1iHRnXhbrVjAHR7zUpu3neZdvtp1a2ikB9LJu8U/edit#gid=1522333227"",""Rekap KTR!$E$9"")"),21.0)</f>
        <v>21</v>
      </c>
      <c r="G16" s="102">
        <f>IFERROR(__xludf.DUMMYFUNCTION("IMPORTRANGE(""https://docs.google.com/spreadsheets/d/1773f1iHRnXhbrVjAHR7zUpu3neZdvtp1a2ikB9LJu8U/edit#gid=1522333227"",""Rekap KTR!$E$10"")"),0.0)</f>
        <v>0</v>
      </c>
      <c r="H16" s="102">
        <f>IFERROR(__xludf.DUMMYFUNCTION("IMPORTRANGE(""https://docs.google.com/spreadsheets/d/1773f1iHRnXhbrVjAHR7zUpu3neZdvtp1a2ikB9LJu8U/edit#gid=1522333227"",""Rekap KTR!$E$11"")"),16.0)</f>
        <v>16</v>
      </c>
      <c r="I16" s="102">
        <f>IFERROR(__xludf.DUMMYFUNCTION("IMPORTRANGE(""https://docs.google.com/spreadsheets/d/1773f1iHRnXhbrVjAHR7zUpu3neZdvtp1a2ikB9LJu8U/edit#gid=1522333227"",""Rekap KTR!$E$12"")"),0.0)</f>
        <v>0</v>
      </c>
    </row>
    <row r="17">
      <c r="B17" s="101" t="str">
        <f>'SPM-Uspro'!$C$21</f>
        <v>#REF!</v>
      </c>
      <c r="C17" s="102">
        <f>IFERROR(__xludf.DUMMYFUNCTION("IMPORTRANGE(""https://docs.google.com/spreadsheets/d/10iNzN1LqaStEosZKEbqcoOm3IdodNsG31q_nR0Y6WGo/edit#gid=1522333227"",""Rekap KTR!$E$6"")"),1.0)</f>
        <v>1</v>
      </c>
      <c r="D17" s="102">
        <f>IFERROR(__xludf.DUMMYFUNCTION("IMPORTRANGE(""https://docs.google.com/spreadsheets/d/10iNzN1LqaStEosZKEbqcoOm3IdodNsG31q_nR0Y6WGo/edit#gid=1522333227"",""Rekap KTR!$E$7"")"),24.0)</f>
        <v>24</v>
      </c>
      <c r="E17" s="102">
        <f>IFERROR(__xludf.DUMMYFUNCTION("IMPORTRANGE(""https://docs.google.com/spreadsheets/d/10iNzN1LqaStEosZKEbqcoOm3IdodNsG31q_nR0Y6WGo/edit#gid=1522333227"",""Rekap KTR!$E$8"")"),2.0)</f>
        <v>2</v>
      </c>
      <c r="F17" s="102">
        <f>IFERROR(__xludf.DUMMYFUNCTION("IMPORTRANGE(""https://docs.google.com/spreadsheets/d/10iNzN1LqaStEosZKEbqcoOm3IdodNsG31q_nR0Y6WGo/edit#gid=1522333227"",""Rekap KTR!$E$9"")"),3.0)</f>
        <v>3</v>
      </c>
      <c r="G17" s="102">
        <f>IFERROR(__xludf.DUMMYFUNCTION("IMPORTRANGE(""https://docs.google.com/spreadsheets/d/10iNzN1LqaStEosZKEbqcoOm3IdodNsG31q_nR0Y6WGo/edit#gid=1522333227"",""Rekap KTR!$E$10"")"),0.0)</f>
        <v>0</v>
      </c>
      <c r="H17" s="102">
        <f>IFERROR(__xludf.DUMMYFUNCTION("IMPORTRANGE(""https://docs.google.com/spreadsheets/d/10iNzN1LqaStEosZKEbqcoOm3IdodNsG31q_nR0Y6WGo/edit#gid=1522333227"",""Rekap KTR!$E$11"")"),2.0)</f>
        <v>2</v>
      </c>
      <c r="I17" s="102">
        <f>IFERROR(__xludf.DUMMYFUNCTION("IMPORTRANGE(""https://docs.google.com/spreadsheets/d/10iNzN1LqaStEosZKEbqcoOm3IdodNsG31q_nR0Y6WGo/edit#gid=1522333227"",""Rekap KTR!$E$12"")"),1.0)</f>
        <v>1</v>
      </c>
    </row>
    <row r="18">
      <c r="B18" s="101" t="str">
        <f>'SPM-Uspro'!$C$22</f>
        <v>#REF!</v>
      </c>
      <c r="C18" s="102">
        <f>IFERROR(__xludf.DUMMYFUNCTION("IMPORTRANGE(""https://docs.google.com/spreadsheets/d/17PsIU8VcCQeO2M4DM42K9vv32GkafaaF1LxQevQ8tAQ/edit#gid=1892753874"",""Rekap KTR!$E$6"")"),2.0)</f>
        <v>2</v>
      </c>
      <c r="D18" s="102">
        <f>IFERROR(__xludf.DUMMYFUNCTION("IMPORTRANGE(""https://docs.google.com/spreadsheets/d/17PsIU8VcCQeO2M4DM42K9vv32GkafaaF1LxQevQ8tAQ/edit#gid=1892753874"",""Rekap KTR!$E$7"")"),21.0)</f>
        <v>21</v>
      </c>
      <c r="E18" s="102">
        <f>IFERROR(__xludf.DUMMYFUNCTION("IMPORTRANGE(""https://docs.google.com/spreadsheets/d/17PsIU8VcCQeO2M4DM42K9vv32GkafaaF1LxQevQ8tAQ/edit#gid=1892753874"",""Rekap KTR!$E$8"")"),17.0)</f>
        <v>17</v>
      </c>
      <c r="F18" s="102">
        <f>IFERROR(__xludf.DUMMYFUNCTION("IMPORTRANGE(""https://docs.google.com/spreadsheets/d/17PsIU8VcCQeO2M4DM42K9vv32GkafaaF1LxQevQ8tAQ/edit#gid=1892753874"",""Rekap KTR!$E$9"")"),0.0)</f>
        <v>0</v>
      </c>
      <c r="G18" s="102">
        <f>IFERROR(__xludf.DUMMYFUNCTION("IMPORTRANGE(""https://docs.google.com/spreadsheets/d/17PsIU8VcCQeO2M4DM42K9vv32GkafaaF1LxQevQ8tAQ/edit#gid=1892753874"",""Rekap KTR!$E$10"")"),0.0)</f>
        <v>0</v>
      </c>
      <c r="H18" s="102">
        <f>IFERROR(__xludf.DUMMYFUNCTION("IMPORTRANGE(""https://docs.google.com/spreadsheets/d/17PsIU8VcCQeO2M4DM42K9vv32GkafaaF1LxQevQ8tAQ/edit#gid=1892753874"",""Rekap KTR!$E$11"")"),0.0)</f>
        <v>0</v>
      </c>
      <c r="I18" s="102">
        <f>IFERROR(__xludf.DUMMYFUNCTION("IMPORTRANGE(""https://docs.google.com/spreadsheets/d/17PsIU8VcCQeO2M4DM42K9vv32GkafaaF1LxQevQ8tAQ/edit#gid=1892753874"",""Rekap KTR!$E$12"")"),0.0)</f>
        <v>0</v>
      </c>
    </row>
    <row r="19">
      <c r="B19" s="101" t="str">
        <f>'SPM-Uspro'!$C$23</f>
        <v>#REF!</v>
      </c>
      <c r="C19" s="102">
        <f>IFERROR(__xludf.DUMMYFUNCTION("IMPORTRANGE(""https://docs.google.com/spreadsheets/d/1d0Y9C6M4-a1TT0nIK2Gc4IXnbVyxoBB3v7o1biNGAwY/edit#gid=1892753874"",""Rekap KTR!$E$6"")"),6.0)</f>
        <v>6</v>
      </c>
      <c r="D19" s="102">
        <f>IFERROR(__xludf.DUMMYFUNCTION("IMPORTRANGE(""https://docs.google.com/spreadsheets/d/1d0Y9C6M4-a1TT0nIK2Gc4IXnbVyxoBB3v7o1biNGAwY/edit#gid=1892753874"",""Rekap KTR!$E$7"")"),27.0)</f>
        <v>27</v>
      </c>
      <c r="E19" s="102">
        <f>IFERROR(__xludf.DUMMYFUNCTION("IMPORTRANGE(""https://docs.google.com/spreadsheets/d/1d0Y9C6M4-a1TT0nIK2Gc4IXnbVyxoBB3v7o1biNGAwY/edit#gid=1892753874"",""Rekap KTR!$E$8"")"),7.0)</f>
        <v>7</v>
      </c>
      <c r="F19" s="102">
        <f>IFERROR(__xludf.DUMMYFUNCTION("IMPORTRANGE(""https://docs.google.com/spreadsheets/d/1d0Y9C6M4-a1TT0nIK2Gc4IXnbVyxoBB3v7o1biNGAwY/edit#gid=1892753874"",""Rekap KTR!$E$9"")"),0.0)</f>
        <v>0</v>
      </c>
      <c r="G19" s="102">
        <f>IFERROR(__xludf.DUMMYFUNCTION("IMPORTRANGE(""https://docs.google.com/spreadsheets/d/1d0Y9C6M4-a1TT0nIK2Gc4IXnbVyxoBB3v7o1biNGAwY/edit#gid=1892753874"",""Rekap KTR!$E$10"")"),0.0)</f>
        <v>0</v>
      </c>
      <c r="H19" s="102">
        <f>IFERROR(__xludf.DUMMYFUNCTION("IMPORTRANGE(""https://docs.google.com/spreadsheets/d/1d0Y9C6M4-a1TT0nIK2Gc4IXnbVyxoBB3v7o1biNGAwY/edit#gid=1892753874"",""Rekap KTR!$E$11"")"),0.0)</f>
        <v>0</v>
      </c>
      <c r="I19" s="102">
        <f>IFERROR(__xludf.DUMMYFUNCTION("IMPORTRANGE(""https://docs.google.com/spreadsheets/d/1d0Y9C6M4-a1TT0nIK2Gc4IXnbVyxoBB3v7o1biNGAwY/edit#gid=1892753874"",""Rekap KTR!$E$12"")"),0.0)</f>
        <v>0</v>
      </c>
    </row>
    <row r="20">
      <c r="B20" s="101" t="str">
        <f>'SPM-Uspro'!$C$24</f>
        <v>#REF!</v>
      </c>
      <c r="C20" s="102">
        <f>IFERROR(__xludf.DUMMYFUNCTION("IMPORTRANGE(""https://docs.google.com/spreadsheets/d/1fXA1yQzUNddp7fjR2KF22o4rRJu9lP9Ja9Oi1mRbg_E/edit#gid=1892753874"",""Rekap KTR!$E$6"")"),2.0)</f>
        <v>2</v>
      </c>
      <c r="D20" s="102">
        <f>IFERROR(__xludf.DUMMYFUNCTION("IMPORTRANGE(""https://docs.google.com/spreadsheets/d/1fXA1yQzUNddp7fjR2KF22o4rRJu9lP9Ja9Oi1mRbg_E/edit#gid=1892753874"",""Rekap KTR!$E$7"")"),31.0)</f>
        <v>31</v>
      </c>
      <c r="E20" s="102">
        <f>IFERROR(__xludf.DUMMYFUNCTION("IMPORTRANGE(""https://docs.google.com/spreadsheets/d/1fXA1yQzUNddp7fjR2KF22o4rRJu9lP9Ja9Oi1mRbg_E/edit#gid=1892753874"",""Rekap KTR!$E$8"")"),29.0)</f>
        <v>29</v>
      </c>
      <c r="F20" s="102">
        <f>IFERROR(__xludf.DUMMYFUNCTION("IMPORTRANGE(""https://docs.google.com/spreadsheets/d/1fXA1yQzUNddp7fjR2KF22o4rRJu9lP9Ja9Oi1mRbg_E/edit#gid=1892753874"",""Rekap KTR!$E$9"")"),19.0)</f>
        <v>19</v>
      </c>
      <c r="G20" s="102">
        <f>IFERROR(__xludf.DUMMYFUNCTION("IMPORTRANGE(""https://docs.google.com/spreadsheets/d/1fXA1yQzUNddp7fjR2KF22o4rRJu9lP9Ja9Oi1mRbg_E/edit#gid=1892753874"",""Rekap KTR!$E$10"")"),1.0)</f>
        <v>1</v>
      </c>
      <c r="H20" s="102">
        <f>IFERROR(__xludf.DUMMYFUNCTION("IMPORTRANGE(""https://docs.google.com/spreadsheets/d/1fXA1yQzUNddp7fjR2KF22o4rRJu9lP9Ja9Oi1mRbg_E/edit#gid=1892753874"",""Rekap KTR!$E$11"")"),1.0)</f>
        <v>1</v>
      </c>
      <c r="I20" s="102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101" t="str">
        <f>'SPM-Uspro'!$C$25</f>
        <v>#REF!</v>
      </c>
      <c r="C21" s="102">
        <f>IFERROR(__xludf.DUMMYFUNCTION("IMPORTRANGE(""https://docs.google.com/spreadsheets/d/155aL1qCqCleHwMP0Y8LT5akEbK27R0RIka-lAkeoeEo/edit#gid=1892753874"",""Rekap KTR!$E$6"")"),10.0)</f>
        <v>10</v>
      </c>
      <c r="D21" s="102">
        <f>IFERROR(__xludf.DUMMYFUNCTION("IMPORTRANGE(""https://docs.google.com/spreadsheets/d/155aL1qCqCleHwMP0Y8LT5akEbK27R0RIka-lAkeoeEo/edit#gid=1892753874"",""Rekap KTR!$E$7"")"),47.0)</f>
        <v>47</v>
      </c>
      <c r="E21" s="102">
        <f>IFERROR(__xludf.DUMMYFUNCTION("IMPORTRANGE(""https://docs.google.com/spreadsheets/d/155aL1qCqCleHwMP0Y8LT5akEbK27R0RIka-lAkeoeEo/edit#gid=1892753874"",""Rekap KTR!$E$8"")"),5.0)</f>
        <v>5</v>
      </c>
      <c r="F21" s="102" t="str">
        <f>IFERROR(__xludf.DUMMYFUNCTION("IMPORTRANGE(""https://docs.google.com/spreadsheets/d/155aL1qCqCleHwMP0Y8LT5akEbK27R0RIka-lAkeoeEo/edit#gid=1892753874"",""Rekap KTR!$E$9"")"),"")</f>
        <v/>
      </c>
      <c r="G21" s="102" t="str">
        <f>IFERROR(__xludf.DUMMYFUNCTION("IMPORTRANGE(""https://docs.google.com/spreadsheets/d/155aL1qCqCleHwMP0Y8LT5akEbK27R0RIka-lAkeoeEo/edit#gid=1892753874"",""Rekap KTR!$E$10"")"),"")</f>
        <v/>
      </c>
      <c r="H21" s="102" t="str">
        <f>IFERROR(__xludf.DUMMYFUNCTION("IMPORTRANGE(""https://docs.google.com/spreadsheets/d/155aL1qCqCleHwMP0Y8LT5akEbK27R0RIka-lAkeoeEo/edit#gid=1892753874"",""Rekap KTR!$E$11"")"),"")</f>
        <v/>
      </c>
      <c r="I21" s="102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101" t="str">
        <f>'SPM-Uspro'!$C$26</f>
        <v>#REF!</v>
      </c>
      <c r="C22" s="102">
        <f>IFERROR(__xludf.DUMMYFUNCTION("IMPORTRANGE(""https://docs.google.com/spreadsheets/d/13FRR1udp0c0o6Nmp_8YHiON78PXr-L4FqQQ028JcBYY/edit#gid=1522333227"",""Rekap KTR!$E$6"")"),7.0)</f>
        <v>7</v>
      </c>
      <c r="D22" s="102">
        <f>IFERROR(__xludf.DUMMYFUNCTION("IMPORTRANGE(""https://docs.google.com/spreadsheets/d/13FRR1udp0c0o6Nmp_8YHiON78PXr-L4FqQQ028JcBYY/edit#gid=1522333227"",""Rekap KTR!$E$7"")"),31.0)</f>
        <v>31</v>
      </c>
      <c r="E22" s="102">
        <f>IFERROR(__xludf.DUMMYFUNCTION("IMPORTRANGE(""https://docs.google.com/spreadsheets/d/13FRR1udp0c0o6Nmp_8YHiON78PXr-L4FqQQ028JcBYY/edit#gid=1522333227"",""Rekap KTR!$E$8"")"),2.0)</f>
        <v>2</v>
      </c>
      <c r="F22" s="102" t="str">
        <f>IFERROR(__xludf.DUMMYFUNCTION("IMPORTRANGE(""https://docs.google.com/spreadsheets/d/13FRR1udp0c0o6Nmp_8YHiON78PXr-L4FqQQ028JcBYY/edit#gid=1522333227"",""Rekap KTR!$E$9"")"),"")</f>
        <v/>
      </c>
      <c r="G22" s="102" t="str">
        <f>IFERROR(__xludf.DUMMYFUNCTION("IMPORTRANGE(""https://docs.google.com/spreadsheets/d/13FRR1udp0c0o6Nmp_8YHiON78PXr-L4FqQQ028JcBYY/edit#gid=1522333227"",""Rekap KTR!$E$10"")"),"")</f>
        <v/>
      </c>
      <c r="H22" s="102" t="str">
        <f>IFERROR(__xludf.DUMMYFUNCTION("IMPORTRANGE(""https://docs.google.com/spreadsheets/d/13FRR1udp0c0o6Nmp_8YHiON78PXr-L4FqQQ028JcBYY/edit#gid=1522333227"",""Rekap KTR!$E$11"")"),"")</f>
        <v/>
      </c>
      <c r="I22" s="102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101" t="str">
        <f>'SPM-Uspro'!$C$27</f>
        <v>#REF!</v>
      </c>
      <c r="C23" s="102">
        <f>IFERROR(__xludf.DUMMYFUNCTION("IMPORTRANGE(""https://docs.google.com/spreadsheets/d/1PVwe4VvYfj1Vj424c9kO9TcQogsBM6TpXMbFve9togc/edit#gid=1522333227"",""Rekap KTR!$E$6"")"),5.0)</f>
        <v>5</v>
      </c>
      <c r="D23" s="102">
        <f>IFERROR(__xludf.DUMMYFUNCTION("IMPORTRANGE(""https://docs.google.com/spreadsheets/d/1PVwe4VvYfj1Vj424c9kO9TcQogsBM6TpXMbFve9togc/edit#gid=1522333227"",""Rekap KTR!$E$7"")"),38.0)</f>
        <v>38</v>
      </c>
      <c r="E23" s="102">
        <f>IFERROR(__xludf.DUMMYFUNCTION("IMPORTRANGE(""https://docs.google.com/spreadsheets/d/1PVwe4VvYfj1Vj424c9kO9TcQogsBM6TpXMbFve9togc/edit#gid=1522333227"",""Rekap KTR!$E$8"")"),17.0)</f>
        <v>17</v>
      </c>
      <c r="F23" s="102">
        <f>IFERROR(__xludf.DUMMYFUNCTION("IMPORTRANGE(""https://docs.google.com/spreadsheets/d/1PVwe4VvYfj1Vj424c9kO9TcQogsBM6TpXMbFve9togc/edit#gid=1522333227"",""Rekap KTR!$E$9"")"),0.0)</f>
        <v>0</v>
      </c>
      <c r="G23" s="102">
        <f>IFERROR(__xludf.DUMMYFUNCTION("IMPORTRANGE(""https://docs.google.com/spreadsheets/d/1PVwe4VvYfj1Vj424c9kO9TcQogsBM6TpXMbFve9togc/edit#gid=1522333227"",""Rekap KTR!$E$10"")"),0.0)</f>
        <v>0</v>
      </c>
      <c r="H23" s="102">
        <f>IFERROR(__xludf.DUMMYFUNCTION("IMPORTRANGE(""https://docs.google.com/spreadsheets/d/1PVwe4VvYfj1Vj424c9kO9TcQogsBM6TpXMbFve9togc/edit#gid=1522333227"",""Rekap KTR!$E$11"")"),0.0)</f>
        <v>0</v>
      </c>
      <c r="I23" s="102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101" t="str">
        <f>'SPM-Uspro'!$C$28</f>
        <v>#REF!</v>
      </c>
      <c r="C24" s="102" t="str">
        <f>IFERROR(__xludf.DUMMYFUNCTION("IMPORTRANGE(""https://docs.google.com/spreadsheets/d/15JUTNcWxWGx3Ha8qvwbxgnbDbT4v7N3vZYvqPZ68_Xg/edit#gid=1892753874"",""Rekap KTR!$E$6"")"),"")</f>
        <v/>
      </c>
      <c r="D24" s="102">
        <f>IFERROR(__xludf.DUMMYFUNCTION("IMPORTRANGE(""https://docs.google.com/spreadsheets/d/15JUTNcWxWGx3Ha8qvwbxgnbDbT4v7N3vZYvqPZ68_Xg/edit#gid=1892753874"",""Rekap KTR!$E$7"")"),19.0)</f>
        <v>19</v>
      </c>
      <c r="E24" s="102" t="str">
        <f>IFERROR(__xludf.DUMMYFUNCTION("IMPORTRANGE(""https://docs.google.com/spreadsheets/d/15JUTNcWxWGx3Ha8qvwbxgnbDbT4v7N3vZYvqPZ68_Xg/edit#gid=1892753874"",""Rekap KTR!$E$8"")"),"")</f>
        <v/>
      </c>
      <c r="F24" s="102" t="str">
        <f>IFERROR(__xludf.DUMMYFUNCTION("IMPORTRANGE(""https://docs.google.com/spreadsheets/d/15JUTNcWxWGx3Ha8qvwbxgnbDbT4v7N3vZYvqPZ68_Xg/edit#gid=1892753874"",""Rekap KTR!$E$9"")"),"")</f>
        <v/>
      </c>
      <c r="G24" s="102" t="str">
        <f>IFERROR(__xludf.DUMMYFUNCTION("IMPORTRANGE(""https://docs.google.com/spreadsheets/d/15JUTNcWxWGx3Ha8qvwbxgnbDbT4v7N3vZYvqPZ68_Xg/edit#gid=1892753874"",""Rekap KTR!$E$10"")"),"")</f>
        <v/>
      </c>
      <c r="H24" s="102" t="str">
        <f>IFERROR(__xludf.DUMMYFUNCTION("IMPORTRANGE(""https://docs.google.com/spreadsheets/d/15JUTNcWxWGx3Ha8qvwbxgnbDbT4v7N3vZYvqPZ68_Xg/edit#gid=1892753874"",""Rekap KTR!$E$11"")"),"")</f>
        <v/>
      </c>
      <c r="I24" s="102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82" t="s">
        <v>33</v>
      </c>
      <c r="B1" s="83"/>
      <c r="C1" s="83"/>
      <c r="D1" s="103" t="s">
        <v>46</v>
      </c>
      <c r="E1" s="83"/>
      <c r="F1" s="83"/>
      <c r="G1" s="83"/>
      <c r="H1" s="83"/>
      <c r="I1" s="83"/>
      <c r="J1" s="83"/>
      <c r="K1" s="84"/>
      <c r="L1" s="85"/>
      <c r="M1" s="85"/>
      <c r="N1" s="85"/>
      <c r="O1" s="85"/>
      <c r="P1" s="85"/>
    </row>
    <row r="2">
      <c r="A2" s="86"/>
      <c r="D2" s="86"/>
      <c r="K2" s="84"/>
      <c r="L2" s="85"/>
      <c r="M2" s="85"/>
      <c r="N2" s="85"/>
      <c r="O2" s="85"/>
      <c r="P2" s="85"/>
    </row>
    <row r="3">
      <c r="A3" s="86"/>
      <c r="D3" s="86"/>
      <c r="K3" s="84"/>
      <c r="L3" s="85"/>
      <c r="M3" s="85"/>
      <c r="N3" s="85"/>
      <c r="O3" s="85"/>
      <c r="P3" s="85"/>
    </row>
    <row r="4" ht="24.75" customHeight="1">
      <c r="A4" s="88" t="s">
        <v>36</v>
      </c>
      <c r="B4" s="89"/>
      <c r="C4" s="89"/>
      <c r="D4" s="86"/>
      <c r="K4" s="84"/>
      <c r="L4" s="85"/>
      <c r="M4" s="85"/>
      <c r="N4" s="85"/>
      <c r="O4" s="85"/>
      <c r="P4" s="85"/>
    </row>
    <row r="6" ht="22.5" customHeight="1">
      <c r="A6" s="104" t="s">
        <v>47</v>
      </c>
      <c r="B6" s="93"/>
      <c r="C6" s="93"/>
      <c r="D6" s="93"/>
      <c r="E6" s="93"/>
      <c r="F6" s="93"/>
      <c r="G6" s="93"/>
      <c r="H6" s="93"/>
      <c r="I6" s="93"/>
      <c r="J6" s="94"/>
      <c r="K6" s="105"/>
      <c r="L6" s="105"/>
      <c r="M6" s="105"/>
      <c r="N6" s="105"/>
      <c r="O6" s="105"/>
      <c r="P6" s="105"/>
    </row>
    <row r="7">
      <c r="A7" s="106" t="s">
        <v>37</v>
      </c>
      <c r="B7" s="106" t="s">
        <v>48</v>
      </c>
      <c r="C7" s="106" t="s">
        <v>49</v>
      </c>
      <c r="D7" s="106" t="s">
        <v>50</v>
      </c>
      <c r="E7" s="107" t="s">
        <v>51</v>
      </c>
      <c r="F7" s="107" t="s">
        <v>52</v>
      </c>
      <c r="G7" s="107" t="s">
        <v>53</v>
      </c>
      <c r="H7" s="108" t="s">
        <v>54</v>
      </c>
      <c r="I7" s="108" t="s">
        <v>55</v>
      </c>
      <c r="J7" s="108" t="s">
        <v>56</v>
      </c>
    </row>
    <row r="8" ht="15.0" customHeight="1">
      <c r="A8" s="96"/>
      <c r="B8" s="96"/>
      <c r="C8" s="96"/>
      <c r="D8" s="96"/>
      <c r="E8" s="96"/>
      <c r="F8" s="96"/>
      <c r="G8" s="96"/>
      <c r="H8" s="96"/>
      <c r="I8" s="96"/>
      <c r="J8" s="96"/>
    </row>
    <row r="9">
      <c r="A9" s="98"/>
      <c r="B9" s="98"/>
      <c r="C9" s="98"/>
      <c r="D9" s="98"/>
      <c r="E9" s="98"/>
      <c r="F9" s="98"/>
      <c r="G9" s="98"/>
      <c r="H9" s="98"/>
      <c r="I9" s="98"/>
      <c r="J9" s="98"/>
    </row>
    <row r="10">
      <c r="A10" s="101" t="str">
        <f>'SPM-Uspro'!$C$13</f>
        <v>#REF!</v>
      </c>
      <c r="B10" s="102">
        <f>IFERROR(__xludf.DUMMYFUNCTION("IMPORTRANGE(""https://docs.google.com/spreadsheets/d/1P0UTisakTE5EAx-MYEjY2DmhSnLNqqRm6P3NrlYXL2I/edit#gid=1892753874"",""Rekap UBM!$B$9"")"),1.0)</f>
        <v>1</v>
      </c>
      <c r="C10" s="102">
        <f>IFERROR(__xludf.DUMMYFUNCTION("IMPORTRANGE(""https://docs.google.com/spreadsheets/d/1P0UTisakTE5EAx-MYEjY2DmhSnLNqqRm6P3NrlYXL2I/edit#gid=1892753874"",""Rekap UBM!$C$9"")"),1.0)</f>
        <v>1</v>
      </c>
      <c r="D10" s="109">
        <f t="shared" ref="D10:D25" si="1">C10/B10*100</f>
        <v>100</v>
      </c>
      <c r="E10" s="102" t="str">
        <f>IFERROR(__xludf.DUMMYFUNCTION("IMPORTRANGE(""https://docs.google.com/spreadsheets/d/1P0UTisakTE5EAx-MYEjY2DmhSnLNqqRm6P3NrlYXL2I/edit#gid=1892753874"",""Rekap UBM!$E$9"")"),"")</f>
        <v/>
      </c>
      <c r="F10" s="102" t="str">
        <f>IFERROR(__xludf.DUMMYFUNCTION("IMPORTRANGE(""https://docs.google.com/spreadsheets/d/1P0UTisakTE5EAx-MYEjY2DmhSnLNqqRm6P3NrlYXL2I/edit#gid=1892753874"",""Rekap UBM!$F$9"")"),"")</f>
        <v/>
      </c>
      <c r="G10" s="109" t="str">
        <f t="shared" ref="G10:G25" si="2">F10/E10*100</f>
        <v>#DIV/0!</v>
      </c>
      <c r="H10" s="102" t="str">
        <f>IFERROR(__xludf.DUMMYFUNCTION("IMPORTRANGE(""https://docs.google.com/spreadsheets/d/1P0UTisakTE5EAx-MYEjY2DmhSnLNqqRm6P3NrlYXL2I/edit#gid=1892753874"",""Rekap UBM!$H$9"")"),"")</f>
        <v/>
      </c>
      <c r="I10" s="102" t="str">
        <f>IFERROR(__xludf.DUMMYFUNCTION("IMPORTRANGE(""https://docs.google.com/spreadsheets/d/1P0UTisakTE5EAx-MYEjY2DmhSnLNqqRm6P3NrlYXL2I/edit#gid=1892753874"",""Rekap UBM!$I$9"")"),"")</f>
        <v/>
      </c>
      <c r="J10" s="109" t="str">
        <f t="shared" ref="J10:J25" si="3">I10/H10*100</f>
        <v>#DIV/0!</v>
      </c>
    </row>
    <row r="11">
      <c r="A11" s="101" t="str">
        <f>'SPM-Uspro'!$C$14</f>
        <v>#REF!</v>
      </c>
      <c r="B11" s="102">
        <f>IFERROR(__xludf.DUMMYFUNCTION("IMPORTRANGE(""https://docs.google.com/spreadsheets/d/1jB-UnyPBzGq1HOZkIVtft_Wo28OEKcZNsVgS5r_boTE/edit#gid=1522333227"",""Rekap UBM!$B$9"")"),1.0)</f>
        <v>1</v>
      </c>
      <c r="C11" s="102">
        <f>IFERROR(__xludf.DUMMYFUNCTION("IMPORTRANGE(""https://docs.google.com/spreadsheets/d/1jB-UnyPBzGq1HOZkIVtft_Wo28OEKcZNsVgS5r_boTE/edit#gid=1522333227"",""Rekap UBM!$C$9"")"),1.0)</f>
        <v>1</v>
      </c>
      <c r="D11" s="109">
        <f t="shared" si="1"/>
        <v>100</v>
      </c>
      <c r="E11" s="102">
        <f>IFERROR(__xludf.DUMMYFUNCTION("IMPORTRANGE(""https://docs.google.com/spreadsheets/d/1jB-UnyPBzGq1HOZkIVtft_Wo28OEKcZNsVgS5r_boTE/edit#gid=1522333227"",""Rekap UBM!$E$9"")"),12.0)</f>
        <v>12</v>
      </c>
      <c r="F11" s="110">
        <f>IFERROR(__xludf.DUMMYFUNCTION("IMPORTRANGE(""https://docs.google.com/spreadsheets/d/1jB-UnyPBzGq1HOZkIVtft_Wo28OEKcZNsVgS5r_boTE/edit#gid=1522333227"",""Rekap UBM!$F$9"")"),12.0)</f>
        <v>12</v>
      </c>
      <c r="G11" s="109">
        <f t="shared" si="2"/>
        <v>100</v>
      </c>
      <c r="H11" s="110" t="str">
        <f>IFERROR(__xludf.DUMMYFUNCTION("IMPORTRANGE(""https://docs.google.com/spreadsheets/d/1jB-UnyPBzGq1HOZkIVtft_Wo28OEKcZNsVgS5r_boTE/edit#gid=1522333227"",""Rekap UBM!$H$9"")"),"")</f>
        <v/>
      </c>
      <c r="I11" s="110" t="str">
        <f>IFERROR(__xludf.DUMMYFUNCTION("IMPORTRANGE(""https://docs.google.com/spreadsheets/d/1jB-UnyPBzGq1HOZkIVtft_Wo28OEKcZNsVgS5r_boTE/edit#gid=1522333227"",""Rekap UBM!$I$9"")"),"")</f>
        <v/>
      </c>
      <c r="J11" s="109" t="str">
        <f t="shared" si="3"/>
        <v>#DIV/0!</v>
      </c>
    </row>
    <row r="12">
      <c r="A12" s="101" t="str">
        <f>'SPM-Uspro'!$C$15</f>
        <v>#REF!</v>
      </c>
      <c r="B12" s="102">
        <f>IFERROR(__xludf.DUMMYFUNCTION("IMPORTRANGE(""https://docs.google.com/spreadsheets/d/1gHFrRpJ5fnyxfJI-jxT5z1B1L7rSV8E5sIZEN90Rfhc/edit#gid=1522333227"",""Rekap UBM!$B$9"")"),1.0)</f>
        <v>1</v>
      </c>
      <c r="C12" s="102">
        <f>IFERROR(__xludf.DUMMYFUNCTION("IMPORTRANGE(""https://docs.google.com/spreadsheets/d/1gHFrRpJ5fnyxfJI-jxT5z1B1L7rSV8E5sIZEN90Rfhc/edit#gid=1522333227"",""Rekap UBM!$C$9"")"),1.0)</f>
        <v>1</v>
      </c>
      <c r="D12" s="109">
        <f t="shared" si="1"/>
        <v>100</v>
      </c>
      <c r="E12" s="102">
        <f>IFERROR(__xludf.DUMMYFUNCTION("IMPORTRANGE(""https://docs.google.com/spreadsheets/d/1gHFrRpJ5fnyxfJI-jxT5z1B1L7rSV8E5sIZEN90Rfhc/edit#gid=1522333227"",""Rekap UBM!$E$9"")"),3.0)</f>
        <v>3</v>
      </c>
      <c r="F12" s="110">
        <f>IFERROR(__xludf.DUMMYFUNCTION("IMPORTRANGE(""https://docs.google.com/spreadsheets/d/1gHFrRpJ5fnyxfJI-jxT5z1B1L7rSV8E5sIZEN90Rfhc/edit#gid=1522333227"",""Rekap UBM!$F$9"")"),3.0)</f>
        <v>3</v>
      </c>
      <c r="G12" s="109">
        <f t="shared" si="2"/>
        <v>100</v>
      </c>
      <c r="H12" s="110">
        <f>IFERROR(__xludf.DUMMYFUNCTION("IMPORTRANGE(""https://docs.google.com/spreadsheets/d/1gHFrRpJ5fnyxfJI-jxT5z1B1L7rSV8E5sIZEN90Rfhc/edit#gid=1522333227"",""Rekap UBM!$H$9"")"),6.0)</f>
        <v>6</v>
      </c>
      <c r="I12" s="110">
        <f>IFERROR(__xludf.DUMMYFUNCTION("IMPORTRANGE(""https://docs.google.com/spreadsheets/d/1gHFrRpJ5fnyxfJI-jxT5z1B1L7rSV8E5sIZEN90Rfhc/edit#gid=1522333227"",""Rekap UBM!$I$9"")"),6.0)</f>
        <v>6</v>
      </c>
      <c r="J12" s="109">
        <f t="shared" si="3"/>
        <v>100</v>
      </c>
    </row>
    <row r="13">
      <c r="A13" s="101" t="str">
        <f>'SPM-Uspro'!$C$16</f>
        <v>#REF!</v>
      </c>
      <c r="B13" s="102">
        <f>IFERROR(__xludf.DUMMYFUNCTION("IMPORTRANGE(""https://docs.google.com/spreadsheets/d/1saC2UP2JuYJ7WRPxjh8EMf_BSfGZ18Ous8sVKGLr-Ng/edit#gid=1892753874"",""Rekap UBM!$B$9"")"),1.0)</f>
        <v>1</v>
      </c>
      <c r="C13" s="102">
        <f>IFERROR(__xludf.DUMMYFUNCTION("IMPORTRANGE(""https://docs.google.com/spreadsheets/d/1saC2UP2JuYJ7WRPxjh8EMf_BSfGZ18Ous8sVKGLr-Ng/edit#gid=1892753874"",""Rekap UBM!$C$9"")"),1.0)</f>
        <v>1</v>
      </c>
      <c r="D13" s="109">
        <f t="shared" si="1"/>
        <v>100</v>
      </c>
      <c r="E13" s="102">
        <f>IFERROR(__xludf.DUMMYFUNCTION("IMPORTRANGE(""https://docs.google.com/spreadsheets/d/1saC2UP2JuYJ7WRPxjh8EMf_BSfGZ18Ous8sVKGLr-Ng/edit#gid=1892753874"",""Rekap UBM!$E$9"")"),3.0)</f>
        <v>3</v>
      </c>
      <c r="F13" s="110">
        <f>IFERROR(__xludf.DUMMYFUNCTION("IMPORTRANGE(""https://docs.google.com/spreadsheets/d/1saC2UP2JuYJ7WRPxjh8EMf_BSfGZ18Ous8sVKGLr-Ng/edit#gid=1892753874"",""Rekap UBM!$F$9"")"),0.0)</f>
        <v>0</v>
      </c>
      <c r="G13" s="109">
        <f t="shared" si="2"/>
        <v>0</v>
      </c>
      <c r="H13" s="110">
        <f>IFERROR(__xludf.DUMMYFUNCTION("IMPORTRANGE(""https://docs.google.com/spreadsheets/d/1saC2UP2JuYJ7WRPxjh8EMf_BSfGZ18Ous8sVKGLr-Ng/edit#gid=1892753874"",""Rekap UBM!$H$9"")"),5.0)</f>
        <v>5</v>
      </c>
      <c r="I13" s="110">
        <f>IFERROR(__xludf.DUMMYFUNCTION("IMPORTRANGE(""https://docs.google.com/spreadsheets/d/1saC2UP2JuYJ7WRPxjh8EMf_BSfGZ18Ous8sVKGLr-Ng/edit#gid=1892753874"",""Rekap UBM!$I$9"")"),0.0)</f>
        <v>0</v>
      </c>
      <c r="J13" s="109">
        <f t="shared" si="3"/>
        <v>0</v>
      </c>
    </row>
    <row r="14">
      <c r="A14" s="101" t="str">
        <f>'SPM-Uspro'!$C$17</f>
        <v>#REF!</v>
      </c>
      <c r="B14" s="102">
        <f>IFERROR(__xludf.DUMMYFUNCTION("IMPORTRANGE(""https://docs.google.com/spreadsheets/d/1ApPPV7RPuDI1EDOKjkoDXkV5Yd_NofeQTYTtAHUYGGw/edit#gid=1522333227"",""Rekap UBM!$B$9"")"),1.0)</f>
        <v>1</v>
      </c>
      <c r="C14" s="102">
        <f>IFERROR(__xludf.DUMMYFUNCTION("IMPORTRANGE(""https://docs.google.com/spreadsheets/d/1ApPPV7RPuDI1EDOKjkoDXkV5Yd_NofeQTYTtAHUYGGw/edit#gid=1522333227"",""Rekap UBM!$C$9"")"),1.0)</f>
        <v>1</v>
      </c>
      <c r="D14" s="109">
        <f t="shared" si="1"/>
        <v>100</v>
      </c>
      <c r="E14" s="102" t="str">
        <f>IFERROR(__xludf.DUMMYFUNCTION("IMPORTRANGE(""https://docs.google.com/spreadsheets/d/1ApPPV7RPuDI1EDOKjkoDXkV5Yd_NofeQTYTtAHUYGGw/edit#gid=1522333227"",""Rekap UBM!$E$9"")"),"")</f>
        <v/>
      </c>
      <c r="F14" s="110" t="str">
        <f>IFERROR(__xludf.DUMMYFUNCTION("IMPORTRANGE(""https://docs.google.com/spreadsheets/d/1ApPPV7RPuDI1EDOKjkoDXkV5Yd_NofeQTYTtAHUYGGw/edit#gid=1522333227"",""Rekap UBM!$F$9"")"),"")</f>
        <v/>
      </c>
      <c r="G14" s="109" t="str">
        <f t="shared" si="2"/>
        <v>#DIV/0!</v>
      </c>
      <c r="H14" s="110" t="str">
        <f>IFERROR(__xludf.DUMMYFUNCTION("IMPORTRANGE(""https://docs.google.com/spreadsheets/d/1ApPPV7RPuDI1EDOKjkoDXkV5Yd_NofeQTYTtAHUYGGw/edit#gid=1522333227"",""Rekap UBM!$H$9"")"),"")</f>
        <v/>
      </c>
      <c r="I14" s="110" t="str">
        <f>IFERROR(__xludf.DUMMYFUNCTION("IMPORTRANGE(""https://docs.google.com/spreadsheets/d/1ApPPV7RPuDI1EDOKjkoDXkV5Yd_NofeQTYTtAHUYGGw/edit#gid=1522333227"",""Rekap UBM!$I$9"")"),"")</f>
        <v/>
      </c>
      <c r="J14" s="109" t="str">
        <f t="shared" si="3"/>
        <v>#DIV/0!</v>
      </c>
    </row>
    <row r="15">
      <c r="A15" s="101" t="str">
        <f>'SPM-Uspro'!$C$18</f>
        <v>#REF!</v>
      </c>
      <c r="B15" s="102">
        <f>IFERROR(__xludf.DUMMYFUNCTION("IMPORTRANGE(""https://docs.google.com/spreadsheets/d/1iV_nqIfkAdyO_vl_QARxWbfnGcK2KlCCS94aVJ2QbTI/edit#gid=1522333227"",""Rekap UBM!$B$9"")"),1.0)</f>
        <v>1</v>
      </c>
      <c r="C15" s="102">
        <f>IFERROR(__xludf.DUMMYFUNCTION("IMPORTRANGE(""https://docs.google.com/spreadsheets/d/1iV_nqIfkAdyO_vl_QARxWbfnGcK2KlCCS94aVJ2QbTI/edit#gid=1522333227"",""Rekap UBM!$C$9"")"),1.0)</f>
        <v>1</v>
      </c>
      <c r="D15" s="109">
        <f t="shared" si="1"/>
        <v>100</v>
      </c>
      <c r="E15" s="102" t="str">
        <f>IFERROR(__xludf.DUMMYFUNCTION("IMPORTRANGE(""https://docs.google.com/spreadsheets/d/1iV_nqIfkAdyO_vl_QARxWbfnGcK2KlCCS94aVJ2QbTI/edit#gid=1522333227"",""Rekap UBM!$E$9"")"),"")</f>
        <v/>
      </c>
      <c r="F15" s="110" t="str">
        <f>IFERROR(__xludf.DUMMYFUNCTION("IMPORTRANGE(""https://docs.google.com/spreadsheets/d/1iV_nqIfkAdyO_vl_QARxWbfnGcK2KlCCS94aVJ2QbTI/edit#gid=1522333227"",""Rekap UBM!$F$9"")"),"")</f>
        <v/>
      </c>
      <c r="G15" s="109" t="str">
        <f t="shared" si="2"/>
        <v>#DIV/0!</v>
      </c>
      <c r="H15" s="110" t="str">
        <f>IFERROR(__xludf.DUMMYFUNCTION("IMPORTRANGE(""https://docs.google.com/spreadsheets/d/1iV_nqIfkAdyO_vl_QARxWbfnGcK2KlCCS94aVJ2QbTI/edit#gid=1522333227"",""Rekap UBM!$H$9"")"),"")</f>
        <v/>
      </c>
      <c r="I15" s="110" t="str">
        <f>IFERROR(__xludf.DUMMYFUNCTION("IMPORTRANGE(""https://docs.google.com/spreadsheets/d/1iV_nqIfkAdyO_vl_QARxWbfnGcK2KlCCS94aVJ2QbTI/edit#gid=1522333227"",""Rekap UBM!$I$9"")"),"")</f>
        <v/>
      </c>
      <c r="J15" s="109" t="str">
        <f t="shared" si="3"/>
        <v>#DIV/0!</v>
      </c>
    </row>
    <row r="16">
      <c r="A16" s="101" t="str">
        <f>'SPM-Uspro'!$C$19</f>
        <v>#REF!</v>
      </c>
      <c r="B16" s="102">
        <f>IFERROR(__xludf.DUMMYFUNCTION("IMPORTRANGE(""https://docs.google.com/spreadsheets/d/1zz70Lj6oBg1MOPSG6KJcsMeqBNtXMHYICRkg7kpt_d0/edit#gid=1892753874"",""Rekap UBM!$B$9"")"),1.0)</f>
        <v>1</v>
      </c>
      <c r="C16" s="102">
        <f>IFERROR(__xludf.DUMMYFUNCTION("IMPORTRANGE(""https://docs.google.com/spreadsheets/d/1zz70Lj6oBg1MOPSG6KJcsMeqBNtXMHYICRkg7kpt_d0/edit#gid=1892753874"",""Rekap UBM!$C$9"")"),1.0)</f>
        <v>1</v>
      </c>
      <c r="D16" s="109">
        <f t="shared" si="1"/>
        <v>100</v>
      </c>
      <c r="E16" s="102">
        <f>IFERROR(__xludf.DUMMYFUNCTION("IMPORTRANGE(""https://docs.google.com/spreadsheets/d/1zz70Lj6oBg1MOPSG6KJcsMeqBNtXMHYICRkg7kpt_d0/edit#gid=1892753874"",""Rekap UBM!$E$9"")"),3.0)</f>
        <v>3</v>
      </c>
      <c r="F16" s="110">
        <f>IFERROR(__xludf.DUMMYFUNCTION("IMPORTRANGE(""https://docs.google.com/spreadsheets/d/1zz70Lj6oBg1MOPSG6KJcsMeqBNtXMHYICRkg7kpt_d0/edit#gid=1892753874"",""Rekap UBM!$F$9"")"),3.0)</f>
        <v>3</v>
      </c>
      <c r="G16" s="109">
        <f t="shared" si="2"/>
        <v>100</v>
      </c>
      <c r="H16" s="110">
        <f>IFERROR(__xludf.DUMMYFUNCTION("IMPORTRANGE(""https://docs.google.com/spreadsheets/d/1zz70Lj6oBg1MOPSG6KJcsMeqBNtXMHYICRkg7kpt_d0/edit#gid=1892753874"",""Rekap UBM!$H$9"")"),3.0)</f>
        <v>3</v>
      </c>
      <c r="I16" s="110">
        <f>IFERROR(__xludf.DUMMYFUNCTION("IMPORTRANGE(""https://docs.google.com/spreadsheets/d/1zz70Lj6oBg1MOPSG6KJcsMeqBNtXMHYICRkg7kpt_d0/edit#gid=1892753874"",""Rekap UBM!$I$9"")"),3.0)</f>
        <v>3</v>
      </c>
      <c r="J16" s="109">
        <f t="shared" si="3"/>
        <v>100</v>
      </c>
    </row>
    <row r="17">
      <c r="A17" s="101" t="str">
        <f>'SPM-Uspro'!$C$20</f>
        <v>#REF!</v>
      </c>
      <c r="B17" s="102">
        <f>IFERROR(__xludf.DUMMYFUNCTION("IMPORTRANGE(""https://docs.google.com/spreadsheets/d/1773f1iHRnXhbrVjAHR7zUpu3neZdvtp1a2ikB9LJu8U/edit#gid=1522333227"",""Rekap UBM!$B$9"")"),1.0)</f>
        <v>1</v>
      </c>
      <c r="C17" s="102">
        <f>IFERROR(__xludf.DUMMYFUNCTION("IMPORTRANGE(""https://docs.google.com/spreadsheets/d/1773f1iHRnXhbrVjAHR7zUpu3neZdvtp1a2ikB9LJu8U/edit#gid=1522333227"",""Rekap UBM!$C$9"")"),1.0)</f>
        <v>1</v>
      </c>
      <c r="D17" s="109">
        <f t="shared" si="1"/>
        <v>100</v>
      </c>
      <c r="E17" s="102">
        <f>IFERROR(__xludf.DUMMYFUNCTION("IMPORTRANGE(""https://docs.google.com/spreadsheets/d/1773f1iHRnXhbrVjAHR7zUpu3neZdvtp1a2ikB9LJu8U/edit#gid=1522333227"",""Rekap UBM!$E$9"")"),13.0)</f>
        <v>13</v>
      </c>
      <c r="F17" s="110">
        <f>IFERROR(__xludf.DUMMYFUNCTION("IMPORTRANGE(""https://docs.google.com/spreadsheets/d/1773f1iHRnXhbrVjAHR7zUpu3neZdvtp1a2ikB9LJu8U/edit#gid=1522333227"",""Rekap UBM!$F$9"")"),13.0)</f>
        <v>13</v>
      </c>
      <c r="G17" s="109">
        <f t="shared" si="2"/>
        <v>100</v>
      </c>
      <c r="H17" s="110">
        <f>IFERROR(__xludf.DUMMYFUNCTION("IMPORTRANGE(""https://docs.google.com/spreadsheets/d/1773f1iHRnXhbrVjAHR7zUpu3neZdvtp1a2ikB9LJu8U/edit#gid=1522333227"",""Rekap UBM!$H$9"")"),1.0)</f>
        <v>1</v>
      </c>
      <c r="I17" s="110">
        <f>IFERROR(__xludf.DUMMYFUNCTION("IMPORTRANGE(""https://docs.google.com/spreadsheets/d/1773f1iHRnXhbrVjAHR7zUpu3neZdvtp1a2ikB9LJu8U/edit#gid=1522333227"",""Rekap UBM!$I$9"")"),1.0)</f>
        <v>1</v>
      </c>
      <c r="J17" s="109">
        <f t="shared" si="3"/>
        <v>100</v>
      </c>
    </row>
    <row r="18">
      <c r="A18" s="101" t="str">
        <f>'SPM-Uspro'!$C$21</f>
        <v>#REF!</v>
      </c>
      <c r="B18" s="102">
        <f>IFERROR(__xludf.DUMMYFUNCTION("IMPORTRANGE(""https://docs.google.com/spreadsheets/d/10iNzN1LqaStEosZKEbqcoOm3IdodNsG31q_nR0Y6WGo/edit#gid=1522333227"",""Rekap UBM!$B$9"")"),1.0)</f>
        <v>1</v>
      </c>
      <c r="C18" s="102">
        <f>IFERROR(__xludf.DUMMYFUNCTION("IMPORTRANGE(""https://docs.google.com/spreadsheets/d/10iNzN1LqaStEosZKEbqcoOm3IdodNsG31q_nR0Y6WGo/edit#gid=1522333227"",""Rekap UBM!$C$9"")"),1.0)</f>
        <v>1</v>
      </c>
      <c r="D18" s="109">
        <f t="shared" si="1"/>
        <v>100</v>
      </c>
      <c r="E18" s="102" t="str">
        <f>IFERROR(__xludf.DUMMYFUNCTION("IMPORTRANGE(""https://docs.google.com/spreadsheets/d/10iNzN1LqaStEosZKEbqcoOm3IdodNsG31q_nR0Y6WGo/edit#gid=1522333227"",""Rekap UBM!$E$9"")"),"")</f>
        <v/>
      </c>
      <c r="F18" s="110" t="str">
        <f>IFERROR(__xludf.DUMMYFUNCTION("IMPORTRANGE(""https://docs.google.com/spreadsheets/d/10iNzN1LqaStEosZKEbqcoOm3IdodNsG31q_nR0Y6WGo/edit#gid=1522333227"",""Rekap UBM!$F$9"")"),"")</f>
        <v/>
      </c>
      <c r="G18" s="109" t="str">
        <f t="shared" si="2"/>
        <v>#DIV/0!</v>
      </c>
      <c r="H18" s="110" t="str">
        <f>IFERROR(__xludf.DUMMYFUNCTION("IMPORTRANGE(""https://docs.google.com/spreadsheets/d/10iNzN1LqaStEosZKEbqcoOm3IdodNsG31q_nR0Y6WGo/edit#gid=1522333227"",""Rekap UBM!$H$9"")"),"")</f>
        <v/>
      </c>
      <c r="I18" s="110" t="str">
        <f>IFERROR(__xludf.DUMMYFUNCTION("IMPORTRANGE(""https://docs.google.com/spreadsheets/d/10iNzN1LqaStEosZKEbqcoOm3IdodNsG31q_nR0Y6WGo/edit#gid=1522333227"",""Rekap UBM!$I$9"")"),"")</f>
        <v/>
      </c>
      <c r="J18" s="109" t="str">
        <f t="shared" si="3"/>
        <v>#DIV/0!</v>
      </c>
    </row>
    <row r="19">
      <c r="A19" s="101" t="str">
        <f>'SPM-Uspro'!$C$22</f>
        <v>#REF!</v>
      </c>
      <c r="B19" s="102">
        <f>IFERROR(__xludf.DUMMYFUNCTION("IMPORTRANGE(""https://docs.google.com/spreadsheets/d/17PsIU8VcCQeO2M4DM42K9vv32GkafaaF1LxQevQ8tAQ/edit#gid=1892753874"",""Rekap UBM!$B$9"")"),1.0)</f>
        <v>1</v>
      </c>
      <c r="C19" s="102">
        <f>IFERROR(__xludf.DUMMYFUNCTION("IMPORTRANGE(""https://docs.google.com/spreadsheets/d/17PsIU8VcCQeO2M4DM42K9vv32GkafaaF1LxQevQ8tAQ/edit#gid=1892753874"",""Rekap UBM!$C$9"")"),0.0)</f>
        <v>0</v>
      </c>
      <c r="D19" s="109">
        <f t="shared" si="1"/>
        <v>0</v>
      </c>
      <c r="E19" s="102" t="str">
        <f>IFERROR(__xludf.DUMMYFUNCTION("IMPORTRANGE(""https://docs.google.com/spreadsheets/d/17PsIU8VcCQeO2M4DM42K9vv32GkafaaF1LxQevQ8tAQ/edit#gid=1892753874"",""Rekap UBM!$E$9"")"),"")</f>
        <v/>
      </c>
      <c r="F19" s="110" t="str">
        <f>IFERROR(__xludf.DUMMYFUNCTION("IMPORTRANGE(""https://docs.google.com/spreadsheets/d/17PsIU8VcCQeO2M4DM42K9vv32GkafaaF1LxQevQ8tAQ/edit#gid=1892753874"",""Rekap UBM!$F$9"")"),"")</f>
        <v/>
      </c>
      <c r="G19" s="109" t="str">
        <f t="shared" si="2"/>
        <v>#DIV/0!</v>
      </c>
      <c r="H19" s="110" t="str">
        <f>IFERROR(__xludf.DUMMYFUNCTION("IMPORTRANGE(""https://docs.google.com/spreadsheets/d/17PsIU8VcCQeO2M4DM42K9vv32GkafaaF1LxQevQ8tAQ/edit#gid=1892753874"",""Rekap UBM!$H$9"")"),"")</f>
        <v/>
      </c>
      <c r="I19" s="110" t="str">
        <f>IFERROR(__xludf.DUMMYFUNCTION("IMPORTRANGE(""https://docs.google.com/spreadsheets/d/17PsIU8VcCQeO2M4DM42K9vv32GkafaaF1LxQevQ8tAQ/edit#gid=1892753874"",""Rekap UBM!$I$9"")"),"")</f>
        <v/>
      </c>
      <c r="J19" s="109" t="str">
        <f t="shared" si="3"/>
        <v>#DIV/0!</v>
      </c>
    </row>
    <row r="20">
      <c r="A20" s="101" t="str">
        <f>'SPM-Uspro'!$C$23</f>
        <v>#REF!</v>
      </c>
      <c r="B20" s="102">
        <f>IFERROR(__xludf.DUMMYFUNCTION("IMPORTRANGE(""https://docs.google.com/spreadsheets/d/1d0Y9C6M4-a1TT0nIK2Gc4IXnbVyxoBB3v7o1biNGAwY/edit#gid=1892753874"",""Rekap UBM!$B$9"")"),1.0)</f>
        <v>1</v>
      </c>
      <c r="C20" s="102">
        <f>IFERROR(__xludf.DUMMYFUNCTION("IMPORTRANGE(""https://docs.google.com/spreadsheets/d/1d0Y9C6M4-a1TT0nIK2Gc4IXnbVyxoBB3v7o1biNGAwY/edit#gid=1892753874"",""Rekap UBM!$C$9"")"),1.0)</f>
        <v>1</v>
      </c>
      <c r="D20" s="109">
        <f t="shared" si="1"/>
        <v>100</v>
      </c>
      <c r="E20" s="102">
        <f>IFERROR(__xludf.DUMMYFUNCTION("IMPORTRANGE(""https://docs.google.com/spreadsheets/d/1d0Y9C6M4-a1TT0nIK2Gc4IXnbVyxoBB3v7o1biNGAwY/edit#gid=1892753874"",""Rekap UBM!$E$9"")"),6.0)</f>
        <v>6</v>
      </c>
      <c r="F20" s="110">
        <f>IFERROR(__xludf.DUMMYFUNCTION("IMPORTRANGE(""https://docs.google.com/spreadsheets/d/1d0Y9C6M4-a1TT0nIK2Gc4IXnbVyxoBB3v7o1biNGAwY/edit#gid=1892753874"",""Rekap UBM!$F$9"")"),0.0)</f>
        <v>0</v>
      </c>
      <c r="G20" s="109">
        <f t="shared" si="2"/>
        <v>0</v>
      </c>
      <c r="H20" s="110" t="str">
        <f>IFERROR(__xludf.DUMMYFUNCTION("IMPORTRANGE(""https://docs.google.com/spreadsheets/d/1d0Y9C6M4-a1TT0nIK2Gc4IXnbVyxoBB3v7o1biNGAwY/edit#gid=1892753874"",""Rekap UBM!$H$9"")"),"")</f>
        <v/>
      </c>
      <c r="I20" s="110">
        <f>IFERROR(__xludf.DUMMYFUNCTION("IMPORTRANGE(""https://docs.google.com/spreadsheets/d/1d0Y9C6M4-a1TT0nIK2Gc4IXnbVyxoBB3v7o1biNGAwY/edit#gid=1892753874"",""Rekap UBM!$I$9"")"),0.0)</f>
        <v>0</v>
      </c>
      <c r="J20" s="109" t="str">
        <f t="shared" si="3"/>
        <v>#DIV/0!</v>
      </c>
    </row>
    <row r="21" ht="15.75" customHeight="1">
      <c r="A21" s="101" t="str">
        <f>'SPM-Uspro'!$C$24</f>
        <v>#REF!</v>
      </c>
      <c r="B21" s="102">
        <f>IFERROR(__xludf.DUMMYFUNCTION("IMPORTRANGE(""https://docs.google.com/spreadsheets/d/1fXA1yQzUNddp7fjR2KF22o4rRJu9lP9Ja9Oi1mRbg_E/edit#gid=1892753874"",""Rekap UBM!$B$9"")"),1.0)</f>
        <v>1</v>
      </c>
      <c r="C21" s="102">
        <f>IFERROR(__xludf.DUMMYFUNCTION("IMPORTRANGE(""https://docs.google.com/spreadsheets/d/1fXA1yQzUNddp7fjR2KF22o4rRJu9lP9Ja9Oi1mRbg_E/edit#gid=1892753874"",""Rekap UBM!$C$9"")"),1.0)</f>
        <v>1</v>
      </c>
      <c r="D21" s="109">
        <f t="shared" si="1"/>
        <v>100</v>
      </c>
      <c r="E21" s="102">
        <f>IFERROR(__xludf.DUMMYFUNCTION("IMPORTRANGE(""https://docs.google.com/spreadsheets/d/1fXA1yQzUNddp7fjR2KF22o4rRJu9lP9Ja9Oi1mRbg_E/edit#gid=1892753874"",""Rekap UBM!$E$9"")"),1.0)</f>
        <v>1</v>
      </c>
      <c r="F21" s="110">
        <f>IFERROR(__xludf.DUMMYFUNCTION("IMPORTRANGE(""https://docs.google.com/spreadsheets/d/1fXA1yQzUNddp7fjR2KF22o4rRJu9lP9Ja9Oi1mRbg_E/edit#gid=1892753874"",""Rekap UBM!$F$9"")"),1.0)</f>
        <v>1</v>
      </c>
      <c r="G21" s="109">
        <f t="shared" si="2"/>
        <v>100</v>
      </c>
      <c r="H21" s="110" t="str">
        <f>IFERROR(__xludf.DUMMYFUNCTION("IMPORTRANGE(""https://docs.google.com/spreadsheets/d/1fXA1yQzUNddp7fjR2KF22o4rRJu9lP9Ja9Oi1mRbg_E/edit#gid=1892753874"",""Rekap UBM!$H$9"")"),"")</f>
        <v/>
      </c>
      <c r="I21" s="110" t="str">
        <f>IFERROR(__xludf.DUMMYFUNCTION("IMPORTRANGE(""https://docs.google.com/spreadsheets/d/1fXA1yQzUNddp7fjR2KF22o4rRJu9lP9Ja9Oi1mRbg_E/edit#gid=1892753874"",""Rekap UBM!$I$9"")"),"")</f>
        <v/>
      </c>
      <c r="J21" s="109" t="str">
        <f t="shared" si="3"/>
        <v>#DIV/0!</v>
      </c>
    </row>
    <row r="22" ht="15.75" customHeight="1">
      <c r="A22" s="101" t="str">
        <f>'SPM-Uspro'!$C$25</f>
        <v>#REF!</v>
      </c>
      <c r="B22" s="102">
        <f>IFERROR(__xludf.DUMMYFUNCTION("IMPORTRANGE(""https://docs.google.com/spreadsheets/d/155aL1qCqCleHwMP0Y8LT5akEbK27R0RIka-lAkeoeEo/edit#gid=1892753874"",""Rekap UBM!$B$9"")"),1.0)</f>
        <v>1</v>
      </c>
      <c r="C22" s="102">
        <f>IFERROR(__xludf.DUMMYFUNCTION("IMPORTRANGE(""https://docs.google.com/spreadsheets/d/155aL1qCqCleHwMP0Y8LT5akEbK27R0RIka-lAkeoeEo/edit#gid=1892753874"",""Rekap UBM!$C$9"")"),1.0)</f>
        <v>1</v>
      </c>
      <c r="D22" s="109">
        <f t="shared" si="1"/>
        <v>100</v>
      </c>
      <c r="E22" s="102">
        <f>IFERROR(__xludf.DUMMYFUNCTION("IMPORTRANGE(""https://docs.google.com/spreadsheets/d/155aL1qCqCleHwMP0Y8LT5akEbK27R0RIka-lAkeoeEo/edit#gid=1892753874"",""Rekap UBM!$E$9"")"),7.0)</f>
        <v>7</v>
      </c>
      <c r="F22" s="110">
        <f>IFERROR(__xludf.DUMMYFUNCTION("IMPORTRANGE(""https://docs.google.com/spreadsheets/d/155aL1qCqCleHwMP0Y8LT5akEbK27R0RIka-lAkeoeEo/edit#gid=1892753874"",""Rekap UBM!$F$9"")"),0.0)</f>
        <v>0</v>
      </c>
      <c r="G22" s="109">
        <f t="shared" si="2"/>
        <v>0</v>
      </c>
      <c r="H22" s="110">
        <f>IFERROR(__xludf.DUMMYFUNCTION("IMPORTRANGE(""https://docs.google.com/spreadsheets/d/155aL1qCqCleHwMP0Y8LT5akEbK27R0RIka-lAkeoeEo/edit#gid=1892753874"",""Rekap UBM!$H$9"")"),2.0)</f>
        <v>2</v>
      </c>
      <c r="I22" s="110">
        <f>IFERROR(__xludf.DUMMYFUNCTION("IMPORTRANGE(""https://docs.google.com/spreadsheets/d/155aL1qCqCleHwMP0Y8LT5akEbK27R0RIka-lAkeoeEo/edit#gid=1892753874"",""Rekap UBM!$I$9"")"),0.0)</f>
        <v>0</v>
      </c>
      <c r="J22" s="109">
        <f t="shared" si="3"/>
        <v>0</v>
      </c>
    </row>
    <row r="23" ht="15.75" customHeight="1">
      <c r="A23" s="101" t="str">
        <f>'SPM-Uspro'!$C$26</f>
        <v>#REF!</v>
      </c>
      <c r="B23" s="102">
        <f>IFERROR(__xludf.DUMMYFUNCTION("IMPORTRANGE(""https://docs.google.com/spreadsheets/d/13FRR1udp0c0o6Nmp_8YHiON78PXr-L4FqQQ028JcBYY/edit#gid=1522333227"",""Rekap UBM!$B$9"")"),1.0)</f>
        <v>1</v>
      </c>
      <c r="C23" s="102">
        <f>IFERROR(__xludf.DUMMYFUNCTION("IMPORTRANGE(""https://docs.google.com/spreadsheets/d/13FRR1udp0c0o6Nmp_8YHiON78PXr-L4FqQQ028JcBYY/edit#gid=1522333227"",""Rekap UBM!$C$9"")"),1.0)</f>
        <v>1</v>
      </c>
      <c r="D23" s="109">
        <f t="shared" si="1"/>
        <v>100</v>
      </c>
      <c r="E23" s="102">
        <f>IFERROR(__xludf.DUMMYFUNCTION("IMPORTRANGE(""https://docs.google.com/spreadsheets/d/13FRR1udp0c0o6Nmp_8YHiON78PXr-L4FqQQ028JcBYY/edit#gid=1522333227"",""Rekap UBM!$E$9"")"),0.0)</f>
        <v>0</v>
      </c>
      <c r="F23" s="110">
        <f>IFERROR(__xludf.DUMMYFUNCTION("IMPORTRANGE(""https://docs.google.com/spreadsheets/d/13FRR1udp0c0o6Nmp_8YHiON78PXr-L4FqQQ028JcBYY/edit#gid=1522333227"",""Rekap UBM!$F$9"")"),0.0)</f>
        <v>0</v>
      </c>
      <c r="G23" s="109" t="str">
        <f t="shared" si="2"/>
        <v>#DIV/0!</v>
      </c>
      <c r="H23" s="110">
        <f>IFERROR(__xludf.DUMMYFUNCTION("IMPORTRANGE(""https://docs.google.com/spreadsheets/d/13FRR1udp0c0o6Nmp_8YHiON78PXr-L4FqQQ028JcBYY/edit#gid=1522333227"",""Rekap UBM!$H$9"")"),0.0)</f>
        <v>0</v>
      </c>
      <c r="I23" s="110">
        <f>IFERROR(__xludf.DUMMYFUNCTION("IMPORTRANGE(""https://docs.google.com/spreadsheets/d/13FRR1udp0c0o6Nmp_8YHiON78PXr-L4FqQQ028JcBYY/edit#gid=1522333227"",""Rekap UBM!$I$9"")"),0.0)</f>
        <v>0</v>
      </c>
      <c r="J23" s="109" t="str">
        <f t="shared" si="3"/>
        <v>#DIV/0!</v>
      </c>
    </row>
    <row r="24" ht="15.75" customHeight="1">
      <c r="A24" s="101" t="str">
        <f>'SPM-Uspro'!$C$27</f>
        <v>#REF!</v>
      </c>
      <c r="B24" s="102">
        <f>IFERROR(__xludf.DUMMYFUNCTION("IMPORTRANGE(""https://docs.google.com/spreadsheets/d/1PVwe4VvYfj1Vj424c9kO9TcQogsBM6TpXMbFve9togc/edit#gid=1522333227"",""Rekap UBM!$B$9"")"),1.0)</f>
        <v>1</v>
      </c>
      <c r="C24" s="102">
        <f>IFERROR(__xludf.DUMMYFUNCTION("IMPORTRANGE(""https://docs.google.com/spreadsheets/d/1PVwe4VvYfj1Vj424c9kO9TcQogsBM6TpXMbFve9togc/edit#gid=1522333227"",""Rekap UBM!$C$9"")"),1.0)</f>
        <v>1</v>
      </c>
      <c r="D24" s="109">
        <f t="shared" si="1"/>
        <v>100</v>
      </c>
      <c r="E24" s="102">
        <f>IFERROR(__xludf.DUMMYFUNCTION("IMPORTRANGE(""https://docs.google.com/spreadsheets/d/1PVwe4VvYfj1Vj424c9kO9TcQogsBM6TpXMbFve9togc/edit#gid=1522333227"",""Rekap UBM!$E$9"")"),3.0)</f>
        <v>3</v>
      </c>
      <c r="F24" s="110">
        <f>IFERROR(__xludf.DUMMYFUNCTION("IMPORTRANGE(""https://docs.google.com/spreadsheets/d/1PVwe4VvYfj1Vj424c9kO9TcQogsBM6TpXMbFve9togc/edit#gid=1522333227"",""Rekap UBM!$F$9"")"),0.0)</f>
        <v>0</v>
      </c>
      <c r="G24" s="109">
        <f t="shared" si="2"/>
        <v>0</v>
      </c>
      <c r="H24" s="110">
        <f>IFERROR(__xludf.DUMMYFUNCTION("IMPORTRANGE(""https://docs.google.com/spreadsheets/d/1PVwe4VvYfj1Vj424c9kO9TcQogsBM6TpXMbFve9togc/edit#gid=1522333227"",""Rekap UBM!$H$9"")"),0.0)</f>
        <v>0</v>
      </c>
      <c r="I24" s="110">
        <f>IFERROR(__xludf.DUMMYFUNCTION("IMPORTRANGE(""https://docs.google.com/spreadsheets/d/1PVwe4VvYfj1Vj424c9kO9TcQogsBM6TpXMbFve9togc/edit#gid=1522333227"",""Rekap UBM!$I$9"")"),0.0)</f>
        <v>0</v>
      </c>
      <c r="J24" s="109" t="str">
        <f t="shared" si="3"/>
        <v>#DIV/0!</v>
      </c>
    </row>
    <row r="25" ht="15.75" customHeight="1">
      <c r="A25" s="101" t="str">
        <f>'SPM-Uspro'!$C$28</f>
        <v>#REF!</v>
      </c>
      <c r="B25" s="102">
        <f>IFERROR(__xludf.DUMMYFUNCTION("IMPORTRANGE(""https://docs.google.com/spreadsheets/d/15JUTNcWxWGx3Ha8qvwbxgnbDbT4v7N3vZYvqPZ68_Xg/edit#gid=1892753874"",""Rekap UBM!$B$9"")"),1.0)</f>
        <v>1</v>
      </c>
      <c r="C25" s="102">
        <f>IFERROR(__xludf.DUMMYFUNCTION("IMPORTRANGE(""https://docs.google.com/spreadsheets/d/15JUTNcWxWGx3Ha8qvwbxgnbDbT4v7N3vZYvqPZ68_Xg/edit#gid=1892753874"",""Rekap UBM!$C$9"")"),1.0)</f>
        <v>1</v>
      </c>
      <c r="D25" s="109">
        <f t="shared" si="1"/>
        <v>100</v>
      </c>
      <c r="E25" s="102" t="str">
        <f>IFERROR(__xludf.DUMMYFUNCTION("IMPORTRANGE(""https://docs.google.com/spreadsheets/d/15JUTNcWxWGx3Ha8qvwbxgnbDbT4v7N3vZYvqPZ68_Xg/edit#gid=1892753874"",""Rekap UBM!$E$9"")"),"")</f>
        <v/>
      </c>
      <c r="F25" s="110" t="str">
        <f>IFERROR(__xludf.DUMMYFUNCTION("IMPORTRANGE(""https://docs.google.com/spreadsheets/d/15JUTNcWxWGx3Ha8qvwbxgnbDbT4v7N3vZYvqPZ68_Xg/edit#gid=1892753874"",""Rekap UBM!$F$9"")"),"")</f>
        <v/>
      </c>
      <c r="G25" s="109" t="str">
        <f t="shared" si="2"/>
        <v>#DIV/0!</v>
      </c>
      <c r="H25" s="110" t="str">
        <f>IFERROR(__xludf.DUMMYFUNCTION("IMPORTRANGE(""https://docs.google.com/spreadsheets/d/15JUTNcWxWGx3Ha8qvwbxgnbDbT4v7N3vZYvqPZ68_Xg/edit#gid=1892753874"",""Rekap UBM!$H$9"")"),"")</f>
        <v/>
      </c>
      <c r="I25" s="110" t="str">
        <f>IFERROR(__xludf.DUMMYFUNCTION("IMPORTRANGE(""https://docs.google.com/spreadsheets/d/15JUTNcWxWGx3Ha8qvwbxgnbDbT4v7N3vZYvqPZ68_Xg/edit#gid=1892753874"",""Rekap UBM!$I$9"")"),"")</f>
        <v/>
      </c>
      <c r="J25" s="109" t="str">
        <f t="shared" si="3"/>
        <v>#DIV/0!</v>
      </c>
    </row>
    <row r="26" ht="15.75" customHeight="1"/>
    <row r="27" ht="15.75" customHeight="1">
      <c r="B27" s="111" t="s">
        <v>57</v>
      </c>
      <c r="C27" s="112"/>
      <c r="D27" s="113" t="s">
        <v>58</v>
      </c>
    </row>
    <row r="28" ht="15.75" customHeight="1">
      <c r="B28" s="112"/>
      <c r="C28" s="112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