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M" sheetId="1" r:id="rId4"/>
    <sheet state="hidden" name="Per Puskesmas - Rekap KTR" sheetId="2" r:id="rId5"/>
    <sheet state="hidden" name="Per Puskesmas Rekap UBM" sheetId="3" r:id="rId6"/>
  </sheets>
  <definedNames/>
  <calcPr/>
  <extLst>
    <ext uri="GoogleSheetsCustomDataVersion2">
      <go:sheetsCustomData xmlns:go="http://customooxmlschemas.google.com/" r:id="rId7" roundtripDataChecksum="Gdyh7UGhBy0BMohq26yVTGGWe9eyaxiH1w4V9EMArPY="/>
    </ext>
  </extLst>
</workbook>
</file>

<file path=xl/sharedStrings.xml><?xml version="1.0" encoding="utf-8"?>
<sst xmlns="http://schemas.openxmlformats.org/spreadsheetml/2006/main" count="91" uniqueCount="55">
  <si>
    <t>LAPORAN CAPAIAN SPM DIABETES</t>
  </si>
  <si>
    <t>PUSKESMAS MOJOLANGU</t>
  </si>
  <si>
    <t>TAHUN 2025</t>
  </si>
  <si>
    <t>NO</t>
  </si>
  <si>
    <t>BULAN</t>
  </si>
  <si>
    <t>SASARAN</t>
  </si>
  <si>
    <t>TOTAL REALISASI CAPAIAN SPM PUSKESMAS</t>
  </si>
  <si>
    <t>TOTAL REALISASI CAPAIAN SPM FKTP WILAYAH PUSKESMAS</t>
  </si>
  <si>
    <t>TOTAL REALISASI CAPAIAN</t>
  </si>
  <si>
    <t>L</t>
  </si>
  <si>
    <t>P</t>
  </si>
  <si>
    <t>TOTAL</t>
  </si>
  <si>
    <t>(%)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</si>
  <si>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</si>
  <si>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</si>
  <si>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</si>
  <si>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</si>
  <si>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</si>
  <si>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</si>
  <si>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</si>
  <si>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</si>
  <si>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</si>
  <si>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</si>
  <si>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</si>
  <si>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</si>
  <si>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</si>
  <si>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</si>
  <si>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</si>
  <si>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</si>
  <si>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      Kembali ke _x000a_              Pilihan Program</t>
  </si>
  <si>
    <t>CAPAIAN IKK TAHUN 2024</t>
  </si>
  <si>
    <t>Rekapitulasi Penerapan Kawasan Tanpa Rokok (KTR)</t>
  </si>
  <si>
    <t>download sheet ini</t>
  </si>
  <si>
    <t>PUSKESMAS</t>
  </si>
  <si>
    <t>(%) Kepatuhan KTR</t>
  </si>
  <si>
    <t>Fasilitas Pelayanan Kesehatan</t>
  </si>
  <si>
    <t>Tempat Prosses Belajar Mengajar</t>
  </si>
  <si>
    <t>Tempat Anak
Bermain</t>
  </si>
  <si>
    <t>Tempat Ibadah</t>
  </si>
  <si>
    <t>Transportasi
Umum</t>
  </si>
  <si>
    <t>Tempat Kerja</t>
  </si>
  <si>
    <t>Tempat Umum, Tempat yang
Ditetapkan</t>
  </si>
  <si>
    <t>REKAPITULASI PENYELENGGARAAN LAYANAN UBM
KOTA MALANG TAHUN 2024</t>
  </si>
  <si>
    <t>FKTP YANG MENYELENGGARAKAN LAYANAN UBM*</t>
  </si>
  <si>
    <t>JUMLAH PUSKESMAS</t>
  </si>
  <si>
    <t>JUMLAH PUSKESMAS UBM</t>
  </si>
  <si>
    <t>% PUSKESMAS UBM</t>
  </si>
  <si>
    <t>JUMLAH KLINIK PRATAMA</t>
  </si>
  <si>
    <t>JUMLAH KLINIK PRATAMA UBM</t>
  </si>
  <si>
    <t>% KLINIK PRATAMA UBM</t>
  </si>
  <si>
    <t>JUMLAH DOKTER PRAKTIK MANDIRI</t>
  </si>
  <si>
    <t>JUMLAH DOKTER PRAKTIK MANDIRI UBM</t>
  </si>
  <si>
    <t>% DOKTER PRAKTIK MANDIRI UBM</t>
  </si>
  <si>
    <t xml:space="preserve">* FKTP DENGAN LAYANAN UBM :
</t>
  </si>
  <si>
    <t>FKTP di wilayah puskesmas (puskesmas, dokter praktek mandiri, klinik pratama) yang menyelenggarakan layanan Upaya Berhenti Merokok (UBM) dengan tenaga terlatih.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</si>
</sst>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"/>
  </numFmts>
  <fonts count="19">
    <font>
      <sz val="11.0"/>
      <color theme="1"/>
      <name val="Verdana"/>
      <scheme val="minor"/>
    </font>
    <font>
      <b/>
      <sz val="12.0"/>
      <color rgb="FF000000"/>
      <name val="Arial Narrow"/>
    </font>
    <font/>
    <font>
      <sz val="11.0"/>
      <color rgb="FF000000"/>
      <name val="Arial Narrow"/>
    </font>
    <font>
      <sz val="11.0"/>
      <color theme="1"/>
      <name val="Arial Narrow"/>
    </font>
    <font>
      <sz val="12.0"/>
      <color theme="1"/>
      <name val="Arial"/>
    </font>
    <font>
      <sz val="12.0"/>
      <color rgb="FF000000"/>
      <name val="Arial Narrow"/>
    </font>
    <font>
      <b/>
      <sz val="11.0"/>
      <color theme="1"/>
      <name val="Arial Narrow"/>
    </font>
    <font>
      <b/>
      <sz val="11.0"/>
      <color rgb="FF000000"/>
      <name val="Arial Narrow"/>
    </font>
    <font>
      <b/>
      <u/>
      <sz val="14.0"/>
      <color rgb="FF1155CC"/>
      <name val="Calibri"/>
    </font>
    <font>
      <b/>
      <sz val="16.0"/>
      <color theme="1"/>
      <name val="Calibri"/>
    </font>
    <font>
      <sz val="11.0"/>
      <color theme="1"/>
      <name val="Verdana"/>
    </font>
    <font>
      <b/>
      <u/>
      <sz val="14.0"/>
      <color rgb="FF0000FF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1.0"/>
      <color theme="1"/>
      <name val="Bookman Old Style"/>
    </font>
    <font>
      <sz val="11.0"/>
      <color rgb="FF000000"/>
      <name val="Calibri"/>
    </font>
    <font>
      <b/>
      <sz val="11.0"/>
      <color theme="1"/>
      <name val="Calibri"/>
    </font>
    <font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CFE4F1"/>
        <bgColor rgb="FFCFE4F1"/>
      </patternFill>
    </fill>
    <fill>
      <patternFill patternType="solid">
        <fgColor theme="8"/>
        <bgColor theme="8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FFF2CC"/>
        <bgColor rgb="FFFFF2CC"/>
      </patternFill>
    </fill>
    <fill>
      <patternFill patternType="solid">
        <fgColor rgb="FFBFBFBF"/>
        <bgColor rgb="FFBFBFBF"/>
      </patternFill>
    </fill>
    <fill>
      <patternFill patternType="solid">
        <fgColor rgb="FFB8CCE4"/>
        <bgColor rgb="FFB8CCE4"/>
      </patternFill>
    </fill>
    <fill>
      <patternFill patternType="solid">
        <fgColor rgb="FFD8E4BC"/>
        <bgColor rgb="FFD8E4BC"/>
      </patternFill>
    </fill>
    <fill>
      <patternFill patternType="solid">
        <fgColor rgb="FFB6D7A8"/>
        <bgColor rgb="FFB6D7A8"/>
      </patternFill>
    </fill>
  </fills>
  <borders count="51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</border>
    <border>
      <top/>
    </border>
    <border>
      <left/>
      <right/>
      <top/>
      <bottom/>
    </border>
    <border>
      <left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/>
    </border>
  </borders>
  <cellStyleXfs count="1">
    <xf borderId="0" fillId="0" fontId="0" numFmtId="0" applyAlignment="1" applyFont="1"/>
  </cellStyleXfs>
  <cellXfs count="1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vertical="center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vertical="center"/>
    </xf>
    <xf borderId="0" fillId="2" fontId="1" numFmtId="0" xfId="0" applyAlignment="1" applyFont="1">
      <alignment horizontal="center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4" fontId="1" numFmtId="0" xfId="0" applyAlignment="1" applyFill="1" applyFont="1">
      <alignment horizontal="center" shrinkToFit="0" vertical="center" wrapText="1"/>
    </xf>
    <xf borderId="1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 vertical="center"/>
    </xf>
    <xf borderId="3" fillId="2" fontId="1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3" fillId="2" fontId="1" numFmtId="0" xfId="0" applyAlignment="1" applyBorder="1" applyFont="1">
      <alignment horizontal="center" shrinkToFit="0" vertical="center" wrapText="1"/>
    </xf>
    <xf borderId="3" fillId="3" fontId="1" numFmtId="0" xfId="0" applyAlignment="1" applyBorder="1" applyFont="1">
      <alignment horizontal="center" shrinkToFit="0" vertical="center" wrapText="1"/>
    </xf>
    <xf borderId="3" fillId="4" fontId="1" numFmtId="0" xfId="0" applyAlignment="1" applyBorder="1" applyFont="1">
      <alignment horizontal="center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0" fillId="0" fontId="1" numFmtId="0" xfId="0" applyAlignment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2" fontId="1" numFmtId="0" xfId="0" applyAlignment="1" applyBorder="1" applyFont="1">
      <alignment horizontal="center"/>
    </xf>
    <xf borderId="14" fillId="2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16" fillId="2" fontId="1" numFmtId="0" xfId="0" applyAlignment="1" applyBorder="1" applyFont="1">
      <alignment horizontal="center" vertical="center"/>
    </xf>
    <xf borderId="13" fillId="3" fontId="1" numFmtId="0" xfId="0" applyAlignment="1" applyBorder="1" applyFont="1">
      <alignment horizontal="center"/>
    </xf>
    <xf borderId="14" fillId="3" fontId="1" numFmtId="0" xfId="0" applyAlignment="1" applyBorder="1" applyFont="1">
      <alignment horizontal="center"/>
    </xf>
    <xf borderId="16" fillId="3" fontId="1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/>
    </xf>
    <xf borderId="14" fillId="4" fontId="1" numFmtId="0" xfId="0" applyAlignment="1" applyBorder="1" applyFont="1">
      <alignment horizontal="center"/>
    </xf>
    <xf borderId="16" fillId="4" fontId="1" numFmtId="0" xfId="0" applyAlignment="1" applyBorder="1" applyFont="1">
      <alignment horizontal="center" vertical="center"/>
    </xf>
    <xf borderId="17" fillId="0" fontId="1" numFmtId="0" xfId="0" applyAlignment="1" applyBorder="1" applyFont="1">
      <alignment horizontal="center" vertical="center"/>
    </xf>
    <xf borderId="18" fillId="0" fontId="1" numFmtId="0" xfId="0" applyAlignment="1" applyBorder="1" applyFont="1">
      <alignment horizontal="center" vertical="center"/>
    </xf>
    <xf borderId="19" fillId="2" fontId="1" numFmtId="0" xfId="0" applyAlignment="1" applyBorder="1" applyFont="1">
      <alignment horizontal="center" vertical="center"/>
    </xf>
    <xf borderId="20" fillId="0" fontId="2" numFmtId="0" xfId="0" applyBorder="1" applyFont="1"/>
    <xf borderId="21" fillId="0" fontId="2" numFmtId="0" xfId="0" applyBorder="1" applyFont="1"/>
    <xf borderId="11" fillId="0" fontId="3" numFmtId="0" xfId="0" applyAlignment="1" applyBorder="1" applyFont="1">
      <alignment horizontal="center"/>
    </xf>
    <xf borderId="15" fillId="0" fontId="4" numFmtId="0" xfId="0" applyAlignment="1" applyBorder="1" applyFont="1">
      <alignment horizontal="left"/>
    </xf>
    <xf borderId="14" fillId="0" fontId="5" numFmtId="3" xfId="0" applyAlignment="1" applyBorder="1" applyFont="1" applyNumberFormat="1">
      <alignment horizontal="center" vertical="bottom"/>
    </xf>
    <xf borderId="22" fillId="0" fontId="6" numFmtId="3" xfId="0" applyAlignment="1" applyBorder="1" applyFont="1" applyNumberFormat="1">
      <alignment horizontal="center"/>
    </xf>
    <xf borderId="13" fillId="5" fontId="3" numFmtId="3" xfId="0" applyAlignment="1" applyBorder="1" applyFill="1" applyFont="1" applyNumberFormat="1">
      <alignment horizontal="center"/>
    </xf>
    <xf borderId="14" fillId="5" fontId="3" numFmtId="3" xfId="0" applyAlignment="1" applyBorder="1" applyFont="1" applyNumberFormat="1">
      <alignment horizontal="center"/>
    </xf>
    <xf borderId="23" fillId="0" fontId="3" numFmtId="3" xfId="0" applyAlignment="1" applyBorder="1" applyFont="1" applyNumberFormat="1">
      <alignment horizontal="center"/>
    </xf>
    <xf borderId="10" fillId="0" fontId="6" numFmtId="164" xfId="0" applyAlignment="1" applyBorder="1" applyFont="1" applyNumberFormat="1">
      <alignment horizontal="center"/>
    </xf>
    <xf borderId="23" fillId="0" fontId="3" numFmtId="3" xfId="0" applyBorder="1" applyFont="1" applyNumberFormat="1"/>
    <xf borderId="0" fillId="0" fontId="6" numFmtId="0" xfId="0" applyFont="1"/>
    <xf borderId="12" fillId="0" fontId="4" numFmtId="0" xfId="0" applyAlignment="1" applyBorder="1" applyFont="1">
      <alignment horizontal="left"/>
    </xf>
    <xf borderId="11" fillId="0" fontId="4" numFmtId="3" xfId="0" applyAlignment="1" applyBorder="1" applyFont="1" applyNumberFormat="1">
      <alignment horizontal="center" vertical="bottom"/>
    </xf>
    <xf borderId="24" fillId="0" fontId="4" numFmtId="3" xfId="0" applyAlignment="1" applyBorder="1" applyFont="1" applyNumberFormat="1">
      <alignment horizontal="center" vertical="bottom"/>
    </xf>
    <xf borderId="10" fillId="0" fontId="3" numFmtId="3" xfId="0" applyAlignment="1" applyBorder="1" applyFont="1" applyNumberFormat="1">
      <alignment horizontal="center" vertical="bottom"/>
    </xf>
    <xf borderId="25" fillId="6" fontId="3" numFmtId="0" xfId="0" applyAlignment="1" applyBorder="1" applyFill="1" applyFont="1">
      <alignment horizontal="center"/>
    </xf>
    <xf borderId="16" fillId="6" fontId="7" numFmtId="0" xfId="0" applyAlignment="1" applyBorder="1" applyFont="1">
      <alignment horizontal="left"/>
    </xf>
    <xf borderId="11" fillId="6" fontId="7" numFmtId="3" xfId="0" applyAlignment="1" applyBorder="1" applyFont="1" applyNumberFormat="1">
      <alignment horizontal="center" vertical="bottom"/>
    </xf>
    <xf borderId="24" fillId="6" fontId="7" numFmtId="3" xfId="0" applyAlignment="1" applyBorder="1" applyFont="1" applyNumberFormat="1">
      <alignment horizontal="center" vertical="bottom"/>
    </xf>
    <xf borderId="10" fillId="6" fontId="8" numFmtId="3" xfId="0" applyAlignment="1" applyBorder="1" applyFont="1" applyNumberFormat="1">
      <alignment horizontal="center" vertical="bottom"/>
    </xf>
    <xf borderId="13" fillId="6" fontId="8" numFmtId="3" xfId="0" applyAlignment="1" applyBorder="1" applyFont="1" applyNumberFormat="1">
      <alignment horizontal="center"/>
    </xf>
    <xf borderId="14" fillId="6" fontId="8" numFmtId="3" xfId="0" applyAlignment="1" applyBorder="1" applyFont="1" applyNumberFormat="1">
      <alignment horizontal="center"/>
    </xf>
    <xf borderId="26" fillId="6" fontId="8" numFmtId="3" xfId="0" applyAlignment="1" applyBorder="1" applyFont="1" applyNumberFormat="1">
      <alignment horizontal="center"/>
    </xf>
    <xf borderId="27" fillId="6" fontId="6" numFmtId="164" xfId="0" applyAlignment="1" applyBorder="1" applyFont="1" applyNumberFormat="1">
      <alignment horizontal="center"/>
    </xf>
    <xf borderId="26" fillId="6" fontId="8" numFmtId="3" xfId="0" applyBorder="1" applyFont="1" applyNumberFormat="1"/>
    <xf borderId="24" fillId="0" fontId="3" numFmtId="3" xfId="0" applyAlignment="1" applyBorder="1" applyFont="1" applyNumberFormat="1">
      <alignment horizontal="center" vertical="bottom"/>
    </xf>
    <xf borderId="11" fillId="0" fontId="6" numFmtId="0" xfId="0" applyAlignment="1" applyBorder="1" applyFont="1">
      <alignment horizontal="center"/>
    </xf>
    <xf borderId="28" fillId="6" fontId="3" numFmtId="0" xfId="0" applyAlignment="1" applyBorder="1" applyFont="1">
      <alignment horizontal="center"/>
    </xf>
    <xf borderId="29" fillId="6" fontId="7" numFmtId="0" xfId="0" applyAlignment="1" applyBorder="1" applyFont="1">
      <alignment horizontal="left"/>
    </xf>
    <xf borderId="30" fillId="6" fontId="8" numFmtId="3" xfId="0" applyAlignment="1" applyBorder="1" applyFont="1" applyNumberFormat="1">
      <alignment horizontal="center"/>
    </xf>
    <xf borderId="31" fillId="6" fontId="8" numFmtId="3" xfId="0" applyAlignment="1" applyBorder="1" applyFont="1" applyNumberFormat="1">
      <alignment horizontal="center"/>
    </xf>
    <xf borderId="32" fillId="6" fontId="8" numFmtId="3" xfId="0" applyAlignment="1" applyBorder="1" applyFont="1" applyNumberFormat="1">
      <alignment horizontal="center"/>
    </xf>
    <xf borderId="33" fillId="6" fontId="6" numFmtId="164" xfId="0" applyAlignment="1" applyBorder="1" applyFont="1" applyNumberFormat="1">
      <alignment horizontal="center"/>
    </xf>
    <xf borderId="32" fillId="6" fontId="8" numFmtId="3" xfId="0" applyBorder="1" applyFont="1" applyNumberFormat="1"/>
    <xf borderId="34" fillId="0" fontId="1" numFmtId="0" xfId="0" applyAlignment="1" applyBorder="1" applyFont="1">
      <alignment horizontal="center"/>
    </xf>
    <xf borderId="35" fillId="0" fontId="2" numFmtId="0" xfId="0" applyBorder="1" applyFont="1"/>
    <xf borderId="36" fillId="2" fontId="8" numFmtId="3" xfId="0" applyAlignment="1" applyBorder="1" applyFont="1" applyNumberFormat="1">
      <alignment horizontal="center" vertical="bottom"/>
    </xf>
    <xf borderId="24" fillId="2" fontId="8" numFmtId="3" xfId="0" applyAlignment="1" applyBorder="1" applyFont="1" applyNumberFormat="1">
      <alignment horizontal="center" vertical="bottom"/>
    </xf>
    <xf borderId="10" fillId="2" fontId="8" numFmtId="3" xfId="0" applyAlignment="1" applyBorder="1" applyFont="1" applyNumberFormat="1">
      <alignment horizontal="center" vertical="bottom"/>
    </xf>
    <xf borderId="37" fillId="0" fontId="1" numFmtId="3" xfId="0" applyAlignment="1" applyBorder="1" applyFont="1" applyNumberFormat="1">
      <alignment horizontal="center"/>
    </xf>
    <xf borderId="38" fillId="0" fontId="1" numFmtId="3" xfId="0" applyAlignment="1" applyBorder="1" applyFont="1" applyNumberFormat="1">
      <alignment horizontal="center"/>
    </xf>
    <xf borderId="39" fillId="6" fontId="1" numFmtId="164" xfId="0" applyAlignment="1" applyBorder="1" applyFont="1" applyNumberFormat="1">
      <alignment horizontal="center"/>
    </xf>
    <xf borderId="40" fillId="7" fontId="9" numFmtId="0" xfId="0" applyAlignment="1" applyBorder="1" applyFill="1" applyFont="1">
      <alignment horizontal="left" shrinkToFit="0" vertical="center" wrapText="1"/>
    </xf>
    <xf borderId="41" fillId="0" fontId="2" numFmtId="0" xfId="0" applyBorder="1" applyFont="1"/>
    <xf borderId="42" fillId="7" fontId="10" numFmtId="0" xfId="0" applyAlignment="1" applyBorder="1" applyFont="1">
      <alignment horizontal="center" vertical="center"/>
    </xf>
    <xf borderId="42" fillId="7" fontId="11" numFmtId="0" xfId="0" applyBorder="1" applyFont="1"/>
    <xf borderId="43" fillId="0" fontId="2" numFmtId="0" xfId="0" applyBorder="1" applyFont="1"/>
    <xf borderId="42" fillId="7" fontId="10" numFmtId="0" xfId="0" applyAlignment="1" applyBorder="1" applyFont="1">
      <alignment horizontal="left" vertical="center"/>
    </xf>
    <xf borderId="44" fillId="7" fontId="12" numFmtId="0" xfId="0" applyAlignment="1" applyBorder="1" applyFont="1">
      <alignment horizontal="left" vertical="center"/>
    </xf>
    <xf borderId="45" fillId="0" fontId="2" numFmtId="0" xfId="0" applyBorder="1" applyFont="1"/>
    <xf borderId="0" fillId="0" fontId="13" numFmtId="0" xfId="0" applyAlignment="1" applyFont="1">
      <alignment vertical="center"/>
    </xf>
    <xf borderId="46" fillId="0" fontId="14" numFmtId="0" xfId="0" applyAlignment="1" applyBorder="1" applyFont="1">
      <alignment horizontal="center" shrinkToFit="0" vertical="center" wrapText="1"/>
    </xf>
    <xf borderId="47" fillId="0" fontId="14" numFmtId="0" xfId="0" applyAlignment="1" applyBorder="1" applyFont="1">
      <alignment horizontal="center" vertical="center"/>
    </xf>
    <xf borderId="48" fillId="0" fontId="2" numFmtId="0" xfId="0" applyBorder="1" applyFont="1"/>
    <xf borderId="23" fillId="0" fontId="2" numFmtId="0" xfId="0" applyBorder="1" applyFont="1"/>
    <xf borderId="0" fillId="0" fontId="13" numFmtId="0" xfId="0" applyAlignment="1" applyFont="1">
      <alignment shrinkToFit="0" vertical="center" wrapText="1"/>
    </xf>
    <xf borderId="49" fillId="0" fontId="2" numFmtId="0" xfId="0" applyBorder="1" applyFont="1"/>
    <xf borderId="14" fillId="0" fontId="14" numFmtId="0" xfId="0" applyAlignment="1" applyBorder="1" applyFont="1">
      <alignment horizontal="center" shrinkToFit="0" vertical="center" wrapText="1"/>
    </xf>
    <xf borderId="36" fillId="0" fontId="2" numFmtId="0" xfId="0" applyBorder="1" applyFont="1"/>
    <xf borderId="14" fillId="0" fontId="14" numFmtId="0" xfId="0" applyAlignment="1" applyBorder="1" applyFont="1">
      <alignment horizontal="center" vertical="center"/>
    </xf>
    <xf borderId="0" fillId="0" fontId="13" numFmtId="0" xfId="0" applyAlignment="1" applyFont="1">
      <alignment horizontal="center" vertical="center"/>
    </xf>
    <xf borderId="14" fillId="0" fontId="15" numFmtId="0" xfId="0" applyAlignment="1" applyBorder="1" applyFont="1">
      <alignment horizontal="left"/>
    </xf>
    <xf borderId="14" fillId="0" fontId="4" numFmtId="3" xfId="0" applyAlignment="1" applyBorder="1" applyFont="1" applyNumberFormat="1">
      <alignment horizontal="right"/>
    </xf>
    <xf borderId="40" fillId="7" fontId="10" numFmtId="0" xfId="0" applyAlignment="1" applyBorder="1" applyFont="1">
      <alignment horizontal="center" vertical="center"/>
    </xf>
    <xf borderId="47" fillId="8" fontId="1" numFmtId="0" xfId="0" applyAlignment="1" applyBorder="1" applyFill="1" applyFont="1">
      <alignment horizontal="center" vertical="center"/>
    </xf>
    <xf borderId="0" fillId="0" fontId="11" numFmtId="0" xfId="0" applyAlignment="1" applyFont="1">
      <alignment vertical="center"/>
    </xf>
    <xf borderId="50" fillId="9" fontId="1" numFmtId="0" xfId="0" applyAlignment="1" applyBorder="1" applyFill="1" applyFont="1">
      <alignment horizontal="center" shrinkToFit="0" vertical="center" wrapText="1"/>
    </xf>
    <xf borderId="50" fillId="10" fontId="1" numFmtId="0" xfId="0" applyAlignment="1" applyBorder="1" applyFill="1" applyFont="1">
      <alignment horizontal="center" shrinkToFit="0" vertical="center" wrapText="1"/>
    </xf>
    <xf borderId="50" fillId="11" fontId="1" numFmtId="0" xfId="0" applyAlignment="1" applyBorder="1" applyFill="1" applyFont="1">
      <alignment horizontal="center" shrinkToFit="0" vertical="center" wrapText="1"/>
    </xf>
    <xf borderId="24" fillId="0" fontId="16" numFmtId="164" xfId="0" applyAlignment="1" applyBorder="1" applyFont="1" applyNumberFormat="1">
      <alignment horizontal="center"/>
    </xf>
    <xf borderId="36" fillId="0" fontId="4" numFmtId="3" xfId="0" applyAlignment="1" applyBorder="1" applyFont="1" applyNumberFormat="1">
      <alignment horizontal="right"/>
    </xf>
    <xf borderId="0" fillId="0" fontId="17" numFmtId="0" xfId="0" applyFont="1"/>
    <xf borderId="0" fillId="0" fontId="18" numFmtId="0" xfId="0" applyFont="1"/>
    <xf borderId="0" fillId="0" fontId="13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19050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47625</xdr:colOff>
      <xdr:row>0</xdr:row>
      <xdr:rowOff>38100</xdr:rowOff>
    </xdr:from>
    <xdr:ext cx="504825" cy="504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525917830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qTQ54xFW5GCrjVb9Ey-VpqV7AsnuNIx3F-20LTn0_hY/export?format=xlsx&amp;gid=233102740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1.22" defaultRowHeight="15.0"/>
  <cols>
    <col customWidth="1" min="1" max="1" width="1.78"/>
    <col customWidth="1" min="2" max="2" width="5.67"/>
    <col customWidth="1" min="3" max="3" width="16.0"/>
    <col customWidth="1" min="4" max="4" width="11.22"/>
    <col customWidth="1" min="5" max="5" width="11.56"/>
    <col customWidth="1" min="6" max="6" width="11.89"/>
    <col customWidth="1" min="7" max="7" width="10.11"/>
    <col customWidth="1" min="8" max="9" width="9.78"/>
    <col customWidth="1" min="10" max="10" width="8.33"/>
    <col customWidth="1" hidden="1" min="11" max="11" width="10.11"/>
    <col customWidth="1" hidden="1" min="12" max="13" width="9.78"/>
    <col customWidth="1" hidden="1" min="14" max="14" width="8.33"/>
    <col customWidth="1" hidden="1" min="15" max="15" width="10.11"/>
    <col customWidth="1" hidden="1" min="16" max="17" width="9.78"/>
    <col customWidth="1" hidden="1" min="18" max="18" width="8.33"/>
    <col customWidth="1" min="19" max="38" width="6.22"/>
  </cols>
  <sheetData>
    <row r="1">
      <c r="B1" s="1" t="s">
        <v>0</v>
      </c>
      <c r="C1" s="2"/>
      <c r="D1" s="3"/>
      <c r="E1" s="3"/>
      <c r="F1" s="3"/>
      <c r="G1" s="4"/>
      <c r="H1" s="4"/>
      <c r="I1" s="4"/>
      <c r="J1" s="4"/>
      <c r="K1" s="5"/>
      <c r="L1" s="5"/>
      <c r="M1" s="5"/>
      <c r="N1" s="5"/>
      <c r="O1" s="6"/>
      <c r="P1" s="6"/>
      <c r="Q1" s="6"/>
      <c r="R1" s="6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>
      <c r="B2" s="1" t="s">
        <v>1</v>
      </c>
      <c r="C2" s="2"/>
      <c r="D2" s="3"/>
      <c r="E2" s="3"/>
      <c r="F2" s="3"/>
      <c r="G2" s="4"/>
      <c r="H2" s="4"/>
      <c r="I2" s="4"/>
      <c r="J2" s="4"/>
      <c r="K2" s="5"/>
      <c r="L2" s="5"/>
      <c r="M2" s="5"/>
      <c r="N2" s="5"/>
      <c r="O2" s="6"/>
      <c r="P2" s="6"/>
      <c r="Q2" s="6"/>
      <c r="R2" s="6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>
      <c r="B3" s="1" t="s">
        <v>2</v>
      </c>
      <c r="C3" s="2"/>
      <c r="D3" s="3"/>
      <c r="E3" s="3"/>
      <c r="F3" s="3"/>
      <c r="G3" s="4"/>
      <c r="H3" s="4"/>
      <c r="I3" s="4"/>
      <c r="J3" s="4"/>
      <c r="K3" s="5"/>
      <c r="L3" s="5"/>
      <c r="M3" s="5"/>
      <c r="N3" s="5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>
      <c r="B4" s="2"/>
      <c r="C4" s="2"/>
      <c r="D4" s="3"/>
      <c r="E4" s="3"/>
      <c r="F4" s="3"/>
      <c r="G4" s="4"/>
      <c r="H4" s="4"/>
      <c r="I4" s="4"/>
      <c r="J4" s="4"/>
      <c r="K4" s="5"/>
      <c r="L4" s="5"/>
      <c r="M4" s="5"/>
      <c r="N4" s="5"/>
      <c r="O4" s="6"/>
      <c r="P4" s="6"/>
      <c r="Q4" s="6"/>
      <c r="R4" s="6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>
      <c r="B5" s="7" t="s">
        <v>3</v>
      </c>
      <c r="C5" s="8" t="s">
        <v>4</v>
      </c>
      <c r="D5" s="9" t="s">
        <v>5</v>
      </c>
      <c r="E5" s="10"/>
      <c r="F5" s="11"/>
      <c r="G5" s="12" t="s">
        <v>6</v>
      </c>
      <c r="H5" s="10"/>
      <c r="I5" s="10"/>
      <c r="J5" s="11"/>
      <c r="K5" s="13" t="s">
        <v>7</v>
      </c>
      <c r="L5" s="10"/>
      <c r="M5" s="10"/>
      <c r="N5" s="11"/>
      <c r="O5" s="14" t="s">
        <v>8</v>
      </c>
      <c r="P5" s="10"/>
      <c r="Q5" s="10"/>
      <c r="R5" s="1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>
      <c r="B6" s="15"/>
      <c r="C6" s="16"/>
      <c r="D6" s="17"/>
      <c r="E6" s="18"/>
      <c r="F6" s="19"/>
      <c r="G6" s="17"/>
      <c r="H6" s="18"/>
      <c r="I6" s="18"/>
      <c r="J6" s="19"/>
      <c r="K6" s="17"/>
      <c r="L6" s="18"/>
      <c r="M6" s="18"/>
      <c r="N6" s="19"/>
      <c r="O6" s="17"/>
      <c r="P6" s="18"/>
      <c r="Q6" s="18"/>
      <c r="R6" s="19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</row>
    <row r="7">
      <c r="B7" s="21"/>
      <c r="C7" s="22"/>
      <c r="D7" s="23" t="s">
        <v>9</v>
      </c>
      <c r="E7" s="24" t="s">
        <v>10</v>
      </c>
      <c r="F7" s="25" t="s">
        <v>11</v>
      </c>
      <c r="G7" s="23" t="s">
        <v>9</v>
      </c>
      <c r="H7" s="24" t="s">
        <v>10</v>
      </c>
      <c r="I7" s="24" t="s">
        <v>11</v>
      </c>
      <c r="J7" s="26" t="s">
        <v>12</v>
      </c>
      <c r="K7" s="27" t="s">
        <v>9</v>
      </c>
      <c r="L7" s="28" t="s">
        <v>10</v>
      </c>
      <c r="M7" s="28" t="s">
        <v>11</v>
      </c>
      <c r="N7" s="29" t="s">
        <v>12</v>
      </c>
      <c r="O7" s="30" t="s">
        <v>9</v>
      </c>
      <c r="P7" s="31" t="s">
        <v>10</v>
      </c>
      <c r="Q7" s="31" t="s">
        <v>11</v>
      </c>
      <c r="R7" s="32" t="s">
        <v>12</v>
      </c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</row>
    <row r="8" ht="15.75" hidden="1" customHeight="1">
      <c r="B8" s="33" t="s">
        <v>3</v>
      </c>
      <c r="C8" s="34" t="s">
        <v>4</v>
      </c>
      <c r="D8" s="35" t="s">
        <v>5</v>
      </c>
      <c r="E8" s="36"/>
      <c r="F8" s="37"/>
      <c r="G8" s="12" t="s">
        <v>6</v>
      </c>
      <c r="H8" s="10"/>
      <c r="I8" s="10"/>
      <c r="J8" s="11"/>
      <c r="K8" s="13" t="s">
        <v>7</v>
      </c>
      <c r="L8" s="10"/>
      <c r="M8" s="10"/>
      <c r="N8" s="11"/>
      <c r="O8" s="14" t="s">
        <v>8</v>
      </c>
      <c r="P8" s="10"/>
      <c r="Q8" s="10"/>
      <c r="R8" s="11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hidden="1">
      <c r="B9" s="15"/>
      <c r="C9" s="16"/>
      <c r="D9" s="17"/>
      <c r="E9" s="18"/>
      <c r="F9" s="19"/>
      <c r="G9" s="17"/>
      <c r="H9" s="18"/>
      <c r="I9" s="18"/>
      <c r="J9" s="19"/>
      <c r="K9" s="17"/>
      <c r="L9" s="18"/>
      <c r="M9" s="18"/>
      <c r="N9" s="19"/>
      <c r="O9" s="17"/>
      <c r="P9" s="18"/>
      <c r="Q9" s="18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</row>
    <row r="10" hidden="1">
      <c r="B10" s="21"/>
      <c r="C10" s="22"/>
      <c r="D10" s="23" t="s">
        <v>9</v>
      </c>
      <c r="E10" s="24" t="s">
        <v>10</v>
      </c>
      <c r="F10" s="25" t="s">
        <v>11</v>
      </c>
      <c r="G10" s="23" t="s">
        <v>9</v>
      </c>
      <c r="H10" s="24" t="s">
        <v>10</v>
      </c>
      <c r="I10" s="24" t="s">
        <v>11</v>
      </c>
      <c r="J10" s="26" t="s">
        <v>12</v>
      </c>
      <c r="K10" s="27" t="s">
        <v>9</v>
      </c>
      <c r="L10" s="28" t="s">
        <v>10</v>
      </c>
      <c r="M10" s="28" t="s">
        <v>11</v>
      </c>
      <c r="N10" s="29" t="s">
        <v>12</v>
      </c>
      <c r="O10" s="30" t="s">
        <v>9</v>
      </c>
      <c r="P10" s="31" t="s">
        <v>10</v>
      </c>
      <c r="Q10" s="31" t="s">
        <v>11</v>
      </c>
      <c r="R10" s="32" t="s">
        <v>12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</row>
    <row r="11">
      <c r="B11" s="38">
        <v>1.0</v>
      </c>
      <c r="C11" s="39" t="s">
        <v>13</v>
      </c>
      <c r="D11" s="40">
        <v>611.0</v>
      </c>
      <c r="E11" s="40">
        <v>628.0</v>
      </c>
      <c r="F11" s="41">
        <f t="shared" ref="F11:F27" si="3">D11+E11</f>
        <v>1239</v>
      </c>
      <c r="G11" s="42">
        <v>111.0</v>
      </c>
      <c r="H11" s="43">
        <v>220.0</v>
      </c>
      <c r="I11" s="44">
        <f t="shared" ref="I11:I13" si="4">G11+H11</f>
        <v>331</v>
      </c>
      <c r="J11" s="45">
        <f t="shared" ref="J11:J27" si="5">I11/F11*100</f>
        <v>26.71509282</v>
      </c>
      <c r="K11" s="42"/>
      <c r="L11" s="43"/>
      <c r="M11" s="46">
        <f t="shared" ref="M11:M13" si="6">K11+L11</f>
        <v>0</v>
      </c>
      <c r="N11" s="45">
        <f t="shared" ref="N11:N27" si="7">M11/J11*100</f>
        <v>0</v>
      </c>
      <c r="O11" s="42">
        <f t="shared" ref="O11:P11" si="1">SUM(K11,G11)</f>
        <v>111</v>
      </c>
      <c r="P11" s="43">
        <f t="shared" si="1"/>
        <v>220</v>
      </c>
      <c r="Q11" s="46">
        <f t="shared" ref="Q11:Q13" si="9">O11+P11</f>
        <v>331</v>
      </c>
      <c r="R11" s="45" t="str">
        <f t="shared" ref="R11:R27" si="10">Q11/N11*100</f>
        <v>#DIV/0!</v>
      </c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</row>
    <row r="12">
      <c r="B12" s="38">
        <v>2.0</v>
      </c>
      <c r="C12" s="48" t="s">
        <v>14</v>
      </c>
      <c r="D12" s="49">
        <f t="shared" ref="D12:E12" si="2">D11</f>
        <v>611</v>
      </c>
      <c r="E12" s="50">
        <f t="shared" si="2"/>
        <v>628</v>
      </c>
      <c r="F12" s="51">
        <f t="shared" si="3"/>
        <v>1239</v>
      </c>
      <c r="G12" s="42">
        <v>32.0</v>
      </c>
      <c r="H12" s="43">
        <v>105.0</v>
      </c>
      <c r="I12" s="44">
        <f t="shared" si="4"/>
        <v>137</v>
      </c>
      <c r="J12" s="45">
        <f t="shared" si="5"/>
        <v>11.05730428</v>
      </c>
      <c r="K12" s="42"/>
      <c r="L12" s="43"/>
      <c r="M12" s="46">
        <f t="shared" si="6"/>
        <v>0</v>
      </c>
      <c r="N12" s="45">
        <f t="shared" si="7"/>
        <v>0</v>
      </c>
      <c r="O12" s="42">
        <f t="shared" ref="O12:P12" si="8">SUM(K12,G12)</f>
        <v>32</v>
      </c>
      <c r="P12" s="43">
        <f t="shared" si="8"/>
        <v>105</v>
      </c>
      <c r="Q12" s="46">
        <f t="shared" si="9"/>
        <v>137</v>
      </c>
      <c r="R12" s="45" t="str">
        <f t="shared" si="10"/>
        <v>#DIV/0!</v>
      </c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</row>
    <row r="13">
      <c r="B13" s="38">
        <v>3.0</v>
      </c>
      <c r="C13" s="48" t="s">
        <v>15</v>
      </c>
      <c r="D13" s="49">
        <f t="shared" ref="D13:E13" si="11">D12</f>
        <v>611</v>
      </c>
      <c r="E13" s="50">
        <f t="shared" si="11"/>
        <v>628</v>
      </c>
      <c r="F13" s="51">
        <f t="shared" si="3"/>
        <v>1239</v>
      </c>
      <c r="G13" s="42">
        <v>46.0</v>
      </c>
      <c r="H13" s="43">
        <v>137.0</v>
      </c>
      <c r="I13" s="44">
        <f t="shared" si="4"/>
        <v>183</v>
      </c>
      <c r="J13" s="45">
        <f t="shared" si="5"/>
        <v>14.76997579</v>
      </c>
      <c r="K13" s="42"/>
      <c r="L13" s="43"/>
      <c r="M13" s="46">
        <f t="shared" si="6"/>
        <v>0</v>
      </c>
      <c r="N13" s="45">
        <f t="shared" si="7"/>
        <v>0</v>
      </c>
      <c r="O13" s="42">
        <f t="shared" ref="O13:P13" si="12">SUM(K13,G13)</f>
        <v>46</v>
      </c>
      <c r="P13" s="43">
        <f t="shared" si="12"/>
        <v>137</v>
      </c>
      <c r="Q13" s="46">
        <f t="shared" si="9"/>
        <v>183</v>
      </c>
      <c r="R13" s="45" t="str">
        <f t="shared" si="10"/>
        <v>#DIV/0!</v>
      </c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</row>
    <row r="14">
      <c r="B14" s="52">
        <v>4.0</v>
      </c>
      <c r="C14" s="53" t="s">
        <v>16</v>
      </c>
      <c r="D14" s="54">
        <f t="shared" ref="D14:E14" si="13">D13</f>
        <v>611</v>
      </c>
      <c r="E14" s="55">
        <f t="shared" si="13"/>
        <v>628</v>
      </c>
      <c r="F14" s="56">
        <f t="shared" si="3"/>
        <v>1239</v>
      </c>
      <c r="G14" s="57">
        <f t="shared" ref="G14:I14" si="14">SUM(G11:G13)</f>
        <v>189</v>
      </c>
      <c r="H14" s="58">
        <f t="shared" si="14"/>
        <v>462</v>
      </c>
      <c r="I14" s="59">
        <f t="shared" si="14"/>
        <v>651</v>
      </c>
      <c r="J14" s="60">
        <f t="shared" si="5"/>
        <v>52.54237288</v>
      </c>
      <c r="K14" s="57">
        <f t="shared" ref="K14:M14" si="15">SUM(K11:K13)</f>
        <v>0</v>
      </c>
      <c r="L14" s="58">
        <f t="shared" si="15"/>
        <v>0</v>
      </c>
      <c r="M14" s="61">
        <f t="shared" si="15"/>
        <v>0</v>
      </c>
      <c r="N14" s="60">
        <f t="shared" si="7"/>
        <v>0</v>
      </c>
      <c r="O14" s="57">
        <f t="shared" ref="O14:Q14" si="16">SUM(O11:O13)</f>
        <v>189</v>
      </c>
      <c r="P14" s="58">
        <f t="shared" si="16"/>
        <v>462</v>
      </c>
      <c r="Q14" s="61">
        <f t="shared" si="16"/>
        <v>651</v>
      </c>
      <c r="R14" s="60" t="str">
        <f t="shared" si="10"/>
        <v>#DIV/0!</v>
      </c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</row>
    <row r="15">
      <c r="B15" s="38">
        <v>5.0</v>
      </c>
      <c r="C15" s="48" t="s">
        <v>17</v>
      </c>
      <c r="D15" s="49">
        <f t="shared" ref="D15:E15" si="17">D14</f>
        <v>611</v>
      </c>
      <c r="E15" s="50">
        <f t="shared" si="17"/>
        <v>628</v>
      </c>
      <c r="F15" s="51">
        <f t="shared" si="3"/>
        <v>1239</v>
      </c>
      <c r="G15" s="42">
        <v>43.0</v>
      </c>
      <c r="H15" s="43">
        <v>114.0</v>
      </c>
      <c r="I15" s="44">
        <f t="shared" ref="I15:I17" si="20">G15+H15</f>
        <v>157</v>
      </c>
      <c r="J15" s="45">
        <f t="shared" si="5"/>
        <v>12.67150928</v>
      </c>
      <c r="K15" s="42"/>
      <c r="L15" s="43"/>
      <c r="M15" s="46">
        <f t="shared" ref="M15:M17" si="21">K15+L15</f>
        <v>0</v>
      </c>
      <c r="N15" s="45">
        <f t="shared" si="7"/>
        <v>0</v>
      </c>
      <c r="O15" s="42">
        <f t="shared" ref="O15:P15" si="18">SUM(K15,G15)</f>
        <v>43</v>
      </c>
      <c r="P15" s="43">
        <f t="shared" si="18"/>
        <v>114</v>
      </c>
      <c r="Q15" s="46">
        <f t="shared" ref="Q15:Q17" si="23">O15+P15</f>
        <v>157</v>
      </c>
      <c r="R15" s="45" t="str">
        <f t="shared" si="10"/>
        <v>#DIV/0!</v>
      </c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</row>
    <row r="16">
      <c r="B16" s="38">
        <v>6.0</v>
      </c>
      <c r="C16" s="48" t="s">
        <v>18</v>
      </c>
      <c r="D16" s="49">
        <f t="shared" ref="D16:E16" si="19">D15</f>
        <v>611</v>
      </c>
      <c r="E16" s="50">
        <f t="shared" si="19"/>
        <v>628</v>
      </c>
      <c r="F16" s="62">
        <f t="shared" si="3"/>
        <v>1239</v>
      </c>
      <c r="G16" s="42">
        <v>22.0</v>
      </c>
      <c r="H16" s="43">
        <v>78.0</v>
      </c>
      <c r="I16" s="44">
        <f t="shared" si="20"/>
        <v>100</v>
      </c>
      <c r="J16" s="45">
        <f t="shared" si="5"/>
        <v>8.07102502</v>
      </c>
      <c r="K16" s="42"/>
      <c r="L16" s="43"/>
      <c r="M16" s="46">
        <f t="shared" si="21"/>
        <v>0</v>
      </c>
      <c r="N16" s="45">
        <f t="shared" si="7"/>
        <v>0</v>
      </c>
      <c r="O16" s="42">
        <f t="shared" ref="O16:P16" si="22">SUM(K16,G16)</f>
        <v>22</v>
      </c>
      <c r="P16" s="43">
        <f t="shared" si="22"/>
        <v>78</v>
      </c>
      <c r="Q16" s="46">
        <f t="shared" si="23"/>
        <v>100</v>
      </c>
      <c r="R16" s="45" t="str">
        <f t="shared" si="10"/>
        <v>#DIV/0!</v>
      </c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</row>
    <row r="17">
      <c r="B17" s="63">
        <v>7.0</v>
      </c>
      <c r="C17" s="48" t="s">
        <v>19</v>
      </c>
      <c r="D17" s="49">
        <f t="shared" ref="D17:E17" si="24">D16</f>
        <v>611</v>
      </c>
      <c r="E17" s="50">
        <f t="shared" si="24"/>
        <v>628</v>
      </c>
      <c r="F17" s="62">
        <f t="shared" si="3"/>
        <v>1239</v>
      </c>
      <c r="G17" s="42">
        <v>14.0</v>
      </c>
      <c r="H17" s="43">
        <v>54.0</v>
      </c>
      <c r="I17" s="44">
        <f t="shared" si="20"/>
        <v>68</v>
      </c>
      <c r="J17" s="45">
        <f t="shared" si="5"/>
        <v>5.488297014</v>
      </c>
      <c r="K17" s="42"/>
      <c r="L17" s="43"/>
      <c r="M17" s="46">
        <f t="shared" si="21"/>
        <v>0</v>
      </c>
      <c r="N17" s="45">
        <f t="shared" si="7"/>
        <v>0</v>
      </c>
      <c r="O17" s="42">
        <f t="shared" ref="O17:P17" si="25">SUM(K17,G17)</f>
        <v>14</v>
      </c>
      <c r="P17" s="43">
        <f t="shared" si="25"/>
        <v>54</v>
      </c>
      <c r="Q17" s="46">
        <f t="shared" si="23"/>
        <v>68</v>
      </c>
      <c r="R17" s="45" t="str">
        <f t="shared" si="10"/>
        <v>#DIV/0!</v>
      </c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</row>
    <row r="18">
      <c r="B18" s="52">
        <v>8.0</v>
      </c>
      <c r="C18" s="53" t="s">
        <v>20</v>
      </c>
      <c r="D18" s="54">
        <f t="shared" ref="D18:E18" si="26">D17</f>
        <v>611</v>
      </c>
      <c r="E18" s="55">
        <f t="shared" si="26"/>
        <v>628</v>
      </c>
      <c r="F18" s="56">
        <f t="shared" si="3"/>
        <v>1239</v>
      </c>
      <c r="G18" s="57">
        <f t="shared" ref="G18:I18" si="27">SUM(G15:G17)</f>
        <v>79</v>
      </c>
      <c r="H18" s="58">
        <f t="shared" si="27"/>
        <v>246</v>
      </c>
      <c r="I18" s="59">
        <f t="shared" si="27"/>
        <v>325</v>
      </c>
      <c r="J18" s="60">
        <f t="shared" si="5"/>
        <v>26.23083132</v>
      </c>
      <c r="K18" s="57">
        <f t="shared" ref="K18:M18" si="28">SUM(K15:K17)</f>
        <v>0</v>
      </c>
      <c r="L18" s="58">
        <f t="shared" si="28"/>
        <v>0</v>
      </c>
      <c r="M18" s="61">
        <f t="shared" si="28"/>
        <v>0</v>
      </c>
      <c r="N18" s="60">
        <f t="shared" si="7"/>
        <v>0</v>
      </c>
      <c r="O18" s="57">
        <f t="shared" ref="O18:Q18" si="29">SUM(O15:O17)</f>
        <v>79</v>
      </c>
      <c r="P18" s="58">
        <f t="shared" si="29"/>
        <v>246</v>
      </c>
      <c r="Q18" s="61">
        <f t="shared" si="29"/>
        <v>325</v>
      </c>
      <c r="R18" s="60" t="str">
        <f t="shared" si="10"/>
        <v>#DIV/0!</v>
      </c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</row>
    <row r="19">
      <c r="B19" s="38">
        <v>9.0</v>
      </c>
      <c r="C19" s="48" t="s">
        <v>21</v>
      </c>
      <c r="D19" s="49">
        <f t="shared" ref="D19:E19" si="30">D18</f>
        <v>611</v>
      </c>
      <c r="E19" s="50">
        <f t="shared" si="30"/>
        <v>628</v>
      </c>
      <c r="F19" s="51">
        <f t="shared" si="3"/>
        <v>1239</v>
      </c>
      <c r="G19" s="42">
        <v>10.0</v>
      </c>
      <c r="H19" s="43">
        <v>29.0</v>
      </c>
      <c r="I19" s="44">
        <f t="shared" ref="I19:I21" si="33">G19+H19</f>
        <v>39</v>
      </c>
      <c r="J19" s="45">
        <f t="shared" si="5"/>
        <v>3.147699758</v>
      </c>
      <c r="K19" s="42"/>
      <c r="L19" s="43"/>
      <c r="M19" s="46">
        <f t="shared" ref="M19:M21" si="34">K19+L19</f>
        <v>0</v>
      </c>
      <c r="N19" s="45">
        <f t="shared" si="7"/>
        <v>0</v>
      </c>
      <c r="O19" s="42">
        <f t="shared" ref="O19:P19" si="31">SUM(K19,G19)</f>
        <v>10</v>
      </c>
      <c r="P19" s="43">
        <f t="shared" si="31"/>
        <v>29</v>
      </c>
      <c r="Q19" s="46">
        <f t="shared" ref="Q19:Q21" si="36">O19+P19</f>
        <v>39</v>
      </c>
      <c r="R19" s="45" t="str">
        <f t="shared" si="10"/>
        <v>#DIV/0!</v>
      </c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</row>
    <row r="20">
      <c r="B20" s="38">
        <v>10.0</v>
      </c>
      <c r="C20" s="48" t="s">
        <v>22</v>
      </c>
      <c r="D20" s="49">
        <f t="shared" ref="D20:E20" si="32">D19</f>
        <v>611</v>
      </c>
      <c r="E20" s="50">
        <f t="shared" si="32"/>
        <v>628</v>
      </c>
      <c r="F20" s="51">
        <f t="shared" si="3"/>
        <v>1239</v>
      </c>
      <c r="G20" s="42">
        <v>12.0</v>
      </c>
      <c r="H20" s="43">
        <v>16.0</v>
      </c>
      <c r="I20" s="44">
        <f t="shared" si="33"/>
        <v>28</v>
      </c>
      <c r="J20" s="45">
        <f t="shared" si="5"/>
        <v>2.259887006</v>
      </c>
      <c r="K20" s="42"/>
      <c r="L20" s="43"/>
      <c r="M20" s="46">
        <f t="shared" si="34"/>
        <v>0</v>
      </c>
      <c r="N20" s="45">
        <f t="shared" si="7"/>
        <v>0</v>
      </c>
      <c r="O20" s="42">
        <f t="shared" ref="O20:P20" si="35">SUM(K20,G20)</f>
        <v>12</v>
      </c>
      <c r="P20" s="43">
        <f t="shared" si="35"/>
        <v>16</v>
      </c>
      <c r="Q20" s="46">
        <f t="shared" si="36"/>
        <v>28</v>
      </c>
      <c r="R20" s="45" t="str">
        <f t="shared" si="10"/>
        <v>#DIV/0!</v>
      </c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</row>
    <row r="21" ht="15.75" customHeight="1">
      <c r="B21" s="38">
        <v>11.0</v>
      </c>
      <c r="C21" s="48" t="s">
        <v>23</v>
      </c>
      <c r="D21" s="49">
        <f t="shared" ref="D21:E21" si="37">D20</f>
        <v>611</v>
      </c>
      <c r="E21" s="50">
        <f t="shared" si="37"/>
        <v>628</v>
      </c>
      <c r="F21" s="51">
        <f t="shared" si="3"/>
        <v>1239</v>
      </c>
      <c r="G21" s="42">
        <v>11.0</v>
      </c>
      <c r="H21" s="43">
        <v>25.0</v>
      </c>
      <c r="I21" s="44">
        <f t="shared" si="33"/>
        <v>36</v>
      </c>
      <c r="J21" s="45">
        <f t="shared" si="5"/>
        <v>2.905569007</v>
      </c>
      <c r="K21" s="42"/>
      <c r="L21" s="43"/>
      <c r="M21" s="46">
        <f t="shared" si="34"/>
        <v>0</v>
      </c>
      <c r="N21" s="45">
        <f t="shared" si="7"/>
        <v>0</v>
      </c>
      <c r="O21" s="42">
        <f t="shared" ref="O21:P21" si="38">SUM(K21,G21)</f>
        <v>11</v>
      </c>
      <c r="P21" s="43">
        <f t="shared" si="38"/>
        <v>25</v>
      </c>
      <c r="Q21" s="46">
        <f t="shared" si="36"/>
        <v>36</v>
      </c>
      <c r="R21" s="45" t="str">
        <f t="shared" si="10"/>
        <v>#DIV/0!</v>
      </c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</row>
    <row r="22" ht="15.75" customHeight="1">
      <c r="B22" s="52">
        <v>12.0</v>
      </c>
      <c r="C22" s="53" t="s">
        <v>24</v>
      </c>
      <c r="D22" s="54">
        <f t="shared" ref="D22:E22" si="39">D21</f>
        <v>611</v>
      </c>
      <c r="E22" s="55">
        <f t="shared" si="39"/>
        <v>628</v>
      </c>
      <c r="F22" s="56">
        <f t="shared" si="3"/>
        <v>1239</v>
      </c>
      <c r="G22" s="57">
        <f t="shared" ref="G22:I22" si="40">SUM(G19:G21)</f>
        <v>33</v>
      </c>
      <c r="H22" s="58">
        <f t="shared" si="40"/>
        <v>70</v>
      </c>
      <c r="I22" s="59">
        <f t="shared" si="40"/>
        <v>103</v>
      </c>
      <c r="J22" s="60">
        <f t="shared" si="5"/>
        <v>8.313155771</v>
      </c>
      <c r="K22" s="57">
        <f t="shared" ref="K22:M22" si="41">SUM(K19:K21)</f>
        <v>0</v>
      </c>
      <c r="L22" s="58">
        <f t="shared" si="41"/>
        <v>0</v>
      </c>
      <c r="M22" s="61">
        <f t="shared" si="41"/>
        <v>0</v>
      </c>
      <c r="N22" s="60">
        <f t="shared" si="7"/>
        <v>0</v>
      </c>
      <c r="O22" s="57">
        <f t="shared" ref="O22:Q22" si="42">SUM(O19:O21)</f>
        <v>33</v>
      </c>
      <c r="P22" s="58">
        <f t="shared" si="42"/>
        <v>70</v>
      </c>
      <c r="Q22" s="61">
        <f t="shared" si="42"/>
        <v>103</v>
      </c>
      <c r="R22" s="60" t="str">
        <f t="shared" si="10"/>
        <v>#DIV/0!</v>
      </c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</row>
    <row r="23" ht="15.75" customHeight="1">
      <c r="B23" s="38">
        <v>13.0</v>
      </c>
      <c r="C23" s="48" t="s">
        <v>25</v>
      </c>
      <c r="D23" s="49">
        <f t="shared" ref="D23:E23" si="43">D22</f>
        <v>611</v>
      </c>
      <c r="E23" s="50">
        <f t="shared" si="43"/>
        <v>628</v>
      </c>
      <c r="F23" s="51">
        <f t="shared" si="3"/>
        <v>1239</v>
      </c>
      <c r="G23" s="42">
        <v>15.0</v>
      </c>
      <c r="H23" s="43">
        <v>33.0</v>
      </c>
      <c r="I23" s="44">
        <f t="shared" ref="I23:I25" si="46">G23+H23</f>
        <v>48</v>
      </c>
      <c r="J23" s="45">
        <f t="shared" si="5"/>
        <v>3.87409201</v>
      </c>
      <c r="K23" s="42"/>
      <c r="L23" s="43"/>
      <c r="M23" s="46">
        <f t="shared" ref="M23:M25" si="47">K23+L23</f>
        <v>0</v>
      </c>
      <c r="N23" s="45">
        <f t="shared" si="7"/>
        <v>0</v>
      </c>
      <c r="O23" s="42">
        <f t="shared" ref="O23:P23" si="44">SUM(K23,G23)</f>
        <v>15</v>
      </c>
      <c r="P23" s="43">
        <f t="shared" si="44"/>
        <v>33</v>
      </c>
      <c r="Q23" s="46">
        <f t="shared" ref="Q23:Q25" si="49">O23+P23</f>
        <v>48</v>
      </c>
      <c r="R23" s="45" t="str">
        <f t="shared" si="10"/>
        <v>#DIV/0!</v>
      </c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</row>
    <row r="24" ht="15.75" customHeight="1">
      <c r="B24" s="38">
        <v>14.0</v>
      </c>
      <c r="C24" s="48" t="s">
        <v>26</v>
      </c>
      <c r="D24" s="49">
        <f t="shared" ref="D24:E24" si="45">D23</f>
        <v>611</v>
      </c>
      <c r="E24" s="50">
        <f t="shared" si="45"/>
        <v>628</v>
      </c>
      <c r="F24" s="51">
        <f t="shared" si="3"/>
        <v>1239</v>
      </c>
      <c r="G24" s="42">
        <v>17.0</v>
      </c>
      <c r="H24" s="43">
        <v>36.0</v>
      </c>
      <c r="I24" s="44">
        <f t="shared" si="46"/>
        <v>53</v>
      </c>
      <c r="J24" s="45">
        <f t="shared" si="5"/>
        <v>4.277643261</v>
      </c>
      <c r="K24" s="42"/>
      <c r="L24" s="43"/>
      <c r="M24" s="46">
        <f t="shared" si="47"/>
        <v>0</v>
      </c>
      <c r="N24" s="45">
        <f t="shared" si="7"/>
        <v>0</v>
      </c>
      <c r="O24" s="42">
        <f t="shared" ref="O24:P24" si="48">SUM(K24,G24)</f>
        <v>17</v>
      </c>
      <c r="P24" s="43">
        <f t="shared" si="48"/>
        <v>36</v>
      </c>
      <c r="Q24" s="46">
        <f t="shared" si="49"/>
        <v>53</v>
      </c>
      <c r="R24" s="45" t="str">
        <f t="shared" si="10"/>
        <v>#DIV/0!</v>
      </c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</row>
    <row r="25" ht="15.75" customHeight="1">
      <c r="B25" s="38">
        <v>15.0</v>
      </c>
      <c r="C25" s="48" t="s">
        <v>27</v>
      </c>
      <c r="D25" s="49">
        <f t="shared" ref="D25:E25" si="50">D24</f>
        <v>611</v>
      </c>
      <c r="E25" s="50">
        <f t="shared" si="50"/>
        <v>628</v>
      </c>
      <c r="F25" s="51">
        <f t="shared" si="3"/>
        <v>1239</v>
      </c>
      <c r="G25" s="42">
        <v>19.0</v>
      </c>
      <c r="H25" s="43">
        <v>41.0</v>
      </c>
      <c r="I25" s="44">
        <f t="shared" si="46"/>
        <v>60</v>
      </c>
      <c r="J25" s="45">
        <f t="shared" si="5"/>
        <v>4.842615012</v>
      </c>
      <c r="K25" s="42"/>
      <c r="L25" s="43"/>
      <c r="M25" s="46">
        <f t="shared" si="47"/>
        <v>0</v>
      </c>
      <c r="N25" s="45">
        <f t="shared" si="7"/>
        <v>0</v>
      </c>
      <c r="O25" s="42">
        <f t="shared" ref="O25:P25" si="51">SUM(K25,G25)</f>
        <v>19</v>
      </c>
      <c r="P25" s="43">
        <f t="shared" si="51"/>
        <v>41</v>
      </c>
      <c r="Q25" s="46">
        <f t="shared" si="49"/>
        <v>60</v>
      </c>
      <c r="R25" s="45" t="str">
        <f t="shared" si="10"/>
        <v>#DIV/0!</v>
      </c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</row>
    <row r="26" ht="15.75" customHeight="1">
      <c r="B26" s="64">
        <v>16.0</v>
      </c>
      <c r="C26" s="65" t="s">
        <v>28</v>
      </c>
      <c r="D26" s="54">
        <f t="shared" ref="D26:E26" si="52">D25</f>
        <v>611</v>
      </c>
      <c r="E26" s="55">
        <f t="shared" si="52"/>
        <v>628</v>
      </c>
      <c r="F26" s="56">
        <f t="shared" si="3"/>
        <v>1239</v>
      </c>
      <c r="G26" s="66">
        <f t="shared" ref="G26:I26" si="53">SUM(G23:G25)</f>
        <v>51</v>
      </c>
      <c r="H26" s="67">
        <f t="shared" si="53"/>
        <v>110</v>
      </c>
      <c r="I26" s="68">
        <f t="shared" si="53"/>
        <v>161</v>
      </c>
      <c r="J26" s="69">
        <f t="shared" si="5"/>
        <v>12.99435028</v>
      </c>
      <c r="K26" s="66">
        <f t="shared" ref="K26:M26" si="54">SUM(K23:K25)</f>
        <v>0</v>
      </c>
      <c r="L26" s="67">
        <f t="shared" si="54"/>
        <v>0</v>
      </c>
      <c r="M26" s="70">
        <f t="shared" si="54"/>
        <v>0</v>
      </c>
      <c r="N26" s="69">
        <f t="shared" si="7"/>
        <v>0</v>
      </c>
      <c r="O26" s="66">
        <f t="shared" ref="O26:Q26" si="55">SUM(O23:O25)</f>
        <v>51</v>
      </c>
      <c r="P26" s="67">
        <f t="shared" si="55"/>
        <v>110</v>
      </c>
      <c r="Q26" s="70">
        <f t="shared" si="55"/>
        <v>161</v>
      </c>
      <c r="R26" s="69" t="str">
        <f t="shared" si="10"/>
        <v>#DIV/0!</v>
      </c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</row>
    <row r="27" ht="15.75" customHeight="1">
      <c r="B27" s="71" t="s">
        <v>11</v>
      </c>
      <c r="C27" s="72"/>
      <c r="D27" s="73">
        <f t="shared" ref="D27:E27" si="56">D26</f>
        <v>611</v>
      </c>
      <c r="E27" s="74">
        <f t="shared" si="56"/>
        <v>628</v>
      </c>
      <c r="F27" s="75">
        <f t="shared" si="3"/>
        <v>1239</v>
      </c>
      <c r="G27" s="76">
        <f t="shared" ref="G27:I27" si="57">SUM(G26,G22,G18,G14)</f>
        <v>352</v>
      </c>
      <c r="H27" s="77">
        <f t="shared" si="57"/>
        <v>888</v>
      </c>
      <c r="I27" s="77">
        <f t="shared" si="57"/>
        <v>1240</v>
      </c>
      <c r="J27" s="78">
        <f t="shared" si="5"/>
        <v>100.0807103</v>
      </c>
      <c r="K27" s="76">
        <f t="shared" ref="K27:M27" si="58">SUM(K26,K22,K18,K14)</f>
        <v>0</v>
      </c>
      <c r="L27" s="77">
        <f t="shared" si="58"/>
        <v>0</v>
      </c>
      <c r="M27" s="77">
        <f t="shared" si="58"/>
        <v>0</v>
      </c>
      <c r="N27" s="78">
        <f t="shared" si="7"/>
        <v>0</v>
      </c>
      <c r="O27" s="76">
        <f t="shared" ref="O27:Q27" si="59">SUM(O26,O22,O18,O14)</f>
        <v>352</v>
      </c>
      <c r="P27" s="77">
        <f t="shared" si="59"/>
        <v>888</v>
      </c>
      <c r="Q27" s="77">
        <f t="shared" si="59"/>
        <v>1240</v>
      </c>
      <c r="R27" s="78" t="str">
        <f t="shared" si="10"/>
        <v>#DIV/0!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G5:J6"/>
    <mergeCell ref="K5:N6"/>
    <mergeCell ref="O5:R6"/>
    <mergeCell ref="B8:B10"/>
    <mergeCell ref="C8:C10"/>
    <mergeCell ref="D8:F9"/>
    <mergeCell ref="G8:J9"/>
    <mergeCell ref="K8:N9"/>
    <mergeCell ref="O8:R9"/>
    <mergeCell ref="B5:B7"/>
    <mergeCell ref="C5:C7"/>
    <mergeCell ref="D5:F6"/>
    <mergeCell ref="B27:C2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4.33"/>
    <col customWidth="1" min="2" max="2" width="28.44"/>
    <col customWidth="1" min="3" max="3" width="30.78"/>
    <col customWidth="1" min="4" max="4" width="27.89"/>
    <col customWidth="1" min="5" max="11" width="16.78"/>
    <col customWidth="1" min="12" max="18" width="11.22"/>
    <col customWidth="1" min="19" max="19" width="4.78"/>
  </cols>
  <sheetData>
    <row r="1">
      <c r="A1" s="79" t="s">
        <v>29</v>
      </c>
      <c r="B1" s="80"/>
      <c r="C1" s="81"/>
      <c r="D1" s="81"/>
      <c r="E1" s="81"/>
      <c r="F1" s="81"/>
      <c r="G1" s="81"/>
      <c r="H1" s="81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</row>
    <row r="2">
      <c r="A2" s="83"/>
      <c r="C2" s="84" t="s">
        <v>30</v>
      </c>
      <c r="D2" s="81"/>
      <c r="E2" s="81"/>
      <c r="F2" s="81"/>
      <c r="G2" s="81"/>
      <c r="H2" s="81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>
      <c r="A3" s="83"/>
      <c r="C3" s="84" t="s">
        <v>31</v>
      </c>
      <c r="D3" s="81"/>
      <c r="E3" s="81"/>
      <c r="F3" s="81"/>
      <c r="G3" s="81"/>
      <c r="H3" s="81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ht="31.5" customHeight="1">
      <c r="A4" s="85" t="s">
        <v>32</v>
      </c>
      <c r="B4" s="86"/>
      <c r="C4" s="81"/>
      <c r="D4" s="81"/>
      <c r="E4" s="81"/>
      <c r="F4" s="81"/>
      <c r="G4" s="8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</row>
    <row r="6">
      <c r="A6" s="87"/>
      <c r="B6" s="88" t="s">
        <v>33</v>
      </c>
      <c r="C6" s="89" t="s">
        <v>34</v>
      </c>
      <c r="D6" s="90"/>
      <c r="E6" s="90"/>
      <c r="F6" s="90"/>
      <c r="G6" s="90"/>
      <c r="H6" s="90"/>
      <c r="I6" s="91"/>
      <c r="J6" s="87"/>
      <c r="K6" s="87"/>
      <c r="L6" s="87"/>
      <c r="M6" s="87"/>
      <c r="N6" s="87"/>
      <c r="O6" s="87"/>
      <c r="P6" s="87"/>
      <c r="Q6" s="87"/>
    </row>
    <row r="7">
      <c r="A7" s="92"/>
      <c r="B7" s="93"/>
      <c r="C7" s="94" t="s">
        <v>35</v>
      </c>
      <c r="D7" s="94" t="s">
        <v>36</v>
      </c>
      <c r="E7" s="94" t="s">
        <v>37</v>
      </c>
      <c r="F7" s="94" t="s">
        <v>38</v>
      </c>
      <c r="G7" s="94" t="s">
        <v>39</v>
      </c>
      <c r="H7" s="94" t="s">
        <v>40</v>
      </c>
      <c r="I7" s="94" t="s">
        <v>41</v>
      </c>
      <c r="J7" s="92"/>
      <c r="K7" s="92"/>
      <c r="L7" s="92"/>
      <c r="M7" s="92"/>
      <c r="N7" s="92"/>
      <c r="O7" s="92"/>
      <c r="P7" s="92"/>
      <c r="Q7" s="92"/>
    </row>
    <row r="8">
      <c r="A8" s="87"/>
      <c r="B8" s="95"/>
      <c r="C8" s="96">
        <v>1.0</v>
      </c>
      <c r="D8" s="96">
        <v>2.0</v>
      </c>
      <c r="E8" s="96">
        <v>3.0</v>
      </c>
      <c r="F8" s="96">
        <v>4.0</v>
      </c>
      <c r="G8" s="96">
        <v>5.0</v>
      </c>
      <c r="H8" s="96">
        <v>6.0</v>
      </c>
      <c r="I8" s="96">
        <v>7.0</v>
      </c>
      <c r="J8" s="97"/>
      <c r="K8" s="97"/>
      <c r="L8" s="97"/>
      <c r="M8" s="97"/>
      <c r="N8" s="97"/>
      <c r="O8" s="97"/>
      <c r="P8" s="97"/>
      <c r="Q8" s="87"/>
    </row>
    <row r="9">
      <c r="B9" s="98" t="str">
        <f>'SPM-Uspro'!$C$13</f>
        <v>#REF!</v>
      </c>
      <c r="C9" s="99">
        <f>IFERROR(__xludf.DUMMYFUNCTION("IMPORTRANGE(""https://docs.google.com/spreadsheets/d/1P0UTisakTE5EAx-MYEjY2DmhSnLNqqRm6P3NrlYXL2I/edit#gid=1892753874"",""Rekap KTR!$E$6"")"),6.0)</f>
        <v>6</v>
      </c>
      <c r="D9" s="99">
        <f>IFERROR(__xludf.DUMMYFUNCTION("IMPORTRANGE(""https://docs.google.com/spreadsheets/d/1P0UTisakTE5EAx-MYEjY2DmhSnLNqqRm6P3NrlYXL2I/edit#gid=1892753874"",""Rekap KTR!$E$7"")"),26.0)</f>
        <v>26</v>
      </c>
      <c r="E9" s="99">
        <f>IFERROR(__xludf.DUMMYFUNCTION("IMPORTRANGE(""https://docs.google.com/spreadsheets/d/1P0UTisakTE5EAx-MYEjY2DmhSnLNqqRm6P3NrlYXL2I/edit#gid=1892753874"",""Rekap KTR!$E$8"")"),56.0)</f>
        <v>56</v>
      </c>
      <c r="F9" s="99">
        <f>IFERROR(__xludf.DUMMYFUNCTION("IMPORTRANGE(""https://docs.google.com/spreadsheets/d/1P0UTisakTE5EAx-MYEjY2DmhSnLNqqRm6P3NrlYXL2I/edit#gid=1892753874"",""Rekap KTR!$E$9"")"),8.0)</f>
        <v>8</v>
      </c>
      <c r="G9" s="99">
        <f>IFERROR(__xludf.DUMMYFUNCTION("IMPORTRANGE(""https://docs.google.com/spreadsheets/d/1P0UTisakTE5EAx-MYEjY2DmhSnLNqqRm6P3NrlYXL2I/edit#gid=1892753874"",""Rekap KTR!$E$10"")"),0.0)</f>
        <v>0</v>
      </c>
      <c r="H9" s="99">
        <f>IFERROR(__xludf.DUMMYFUNCTION("IMPORTRANGE(""https://docs.google.com/spreadsheets/d/1P0UTisakTE5EAx-MYEjY2DmhSnLNqqRm6P3NrlYXL2I/edit#gid=1892753874"",""Rekap KTR!$E$11"")"),8.0)</f>
        <v>8</v>
      </c>
      <c r="I9" s="99">
        <f>IFERROR(__xludf.DUMMYFUNCTION("IMPORTRANGE(""https://docs.google.com/spreadsheets/d/1P0UTisakTE5EAx-MYEjY2DmhSnLNqqRm6P3NrlYXL2I/edit#gid=1892753874"",""Rekap KTR!$E$12"")"),0.0)</f>
        <v>0</v>
      </c>
    </row>
    <row r="10">
      <c r="B10" s="98" t="str">
        <f>'SPM-Uspro'!$C$14</f>
        <v>#REF!</v>
      </c>
      <c r="C10" s="99">
        <f>IFERROR(__xludf.DUMMYFUNCTION("IMPORTRANGE(""https://docs.google.com/spreadsheets/d/1jB-UnyPBzGq1HOZkIVtft_Wo28OEKcZNsVgS5r_boTE/edit#gid=1522333227"",""Rekap KTR!$E$6"")"),12.0)</f>
        <v>12</v>
      </c>
      <c r="D10" s="99">
        <f>IFERROR(__xludf.DUMMYFUNCTION("IMPORTRANGE(""https://docs.google.com/spreadsheets/d/1jB-UnyPBzGq1HOZkIVtft_Wo28OEKcZNsVgS5r_boTE/edit#gid=1522333227"",""Rekap KTR!$E$7"")"),53.0)</f>
        <v>53</v>
      </c>
      <c r="E10" s="99">
        <f>IFERROR(__xludf.DUMMYFUNCTION("IMPORTRANGE(""https://docs.google.com/spreadsheets/d/1jB-UnyPBzGq1HOZkIVtft_Wo28OEKcZNsVgS5r_boTE/edit#gid=1522333227"",""Rekap KTR!$E$8"")"),56.0)</f>
        <v>56</v>
      </c>
      <c r="F10" s="99" t="str">
        <f>IFERROR(__xludf.DUMMYFUNCTION("IMPORTRANGE(""https://docs.google.com/spreadsheets/d/1jB-UnyPBzGq1HOZkIVtft_Wo28OEKcZNsVgS5r_boTE/edit#gid=1522333227"",""Rekap KTR!$E$9"")"),"")</f>
        <v/>
      </c>
      <c r="G10" s="99">
        <f>IFERROR(__xludf.DUMMYFUNCTION("IMPORTRANGE(""https://docs.google.com/spreadsheets/d/1jB-UnyPBzGq1HOZkIVtft_Wo28OEKcZNsVgS5r_boTE/edit#gid=1522333227"",""Rekap KTR!$E$10"")"),0.0)</f>
        <v>0</v>
      </c>
      <c r="H10" s="99" t="str">
        <f>IFERROR(__xludf.DUMMYFUNCTION("IMPORTRANGE(""https://docs.google.com/spreadsheets/d/1jB-UnyPBzGq1HOZkIVtft_Wo28OEKcZNsVgS5r_boTE/edit#gid=1522333227"",""Rekap KTR!$E$11"")"),"")</f>
        <v/>
      </c>
      <c r="I10" s="99">
        <f>IFERROR(__xludf.DUMMYFUNCTION("IMPORTRANGE(""https://docs.google.com/spreadsheets/d/1jB-UnyPBzGq1HOZkIVtft_Wo28OEKcZNsVgS5r_boTE/edit#gid=1522333227"",""Rekap KTR!$E$12"")"),0.0)</f>
        <v>0</v>
      </c>
    </row>
    <row r="11">
      <c r="B11" s="98" t="str">
        <f>'SPM-Uspro'!$C$15</f>
        <v>#REF!</v>
      </c>
      <c r="C11" s="99">
        <f>IFERROR(__xludf.DUMMYFUNCTION("IMPORTRANGE(""https://docs.google.com/spreadsheets/d/1gHFrRpJ5fnyxfJI-jxT5z1B1L7rSV8E5sIZEN90Rfhc/edit#gid=1522333227"",""Rekap KTR!$E$6"")"),4.0)</f>
        <v>4</v>
      </c>
      <c r="D11" s="99">
        <f>IFERROR(__xludf.DUMMYFUNCTION("IMPORTRANGE(""https://docs.google.com/spreadsheets/d/1gHFrRpJ5fnyxfJI-jxT5z1B1L7rSV8E5sIZEN90Rfhc/edit#gid=1522333227"",""Rekap KTR!$E$7"")"),29.0)</f>
        <v>29</v>
      </c>
      <c r="E11" s="99">
        <f>IFERROR(__xludf.DUMMYFUNCTION("IMPORTRANGE(""https://docs.google.com/spreadsheets/d/1gHFrRpJ5fnyxfJI-jxT5z1B1L7rSV8E5sIZEN90Rfhc/edit#gid=1522333227"",""Rekap KTR!$E$8"")"),31.0)</f>
        <v>31</v>
      </c>
      <c r="F11" s="99" t="str">
        <f>IFERROR(__xludf.DUMMYFUNCTION("IMPORTRANGE(""https://docs.google.com/spreadsheets/d/1gHFrRpJ5fnyxfJI-jxT5z1B1L7rSV8E5sIZEN90Rfhc/edit#gid=1522333227"",""Rekap KTR!$E$9"")"),"")</f>
        <v/>
      </c>
      <c r="G11" s="99" t="str">
        <f>IFERROR(__xludf.DUMMYFUNCTION("IMPORTRANGE(""https://docs.google.com/spreadsheets/d/1gHFrRpJ5fnyxfJI-jxT5z1B1L7rSV8E5sIZEN90Rfhc/edit#gid=1522333227"",""Rekap KTR!$E$10"")"),"")</f>
        <v/>
      </c>
      <c r="H11" s="99" t="str">
        <f>IFERROR(__xludf.DUMMYFUNCTION("IMPORTRANGE(""https://docs.google.com/spreadsheets/d/1gHFrRpJ5fnyxfJI-jxT5z1B1L7rSV8E5sIZEN90Rfhc/edit#gid=1522333227"",""Rekap KTR!$E$11"")"),"")</f>
        <v/>
      </c>
      <c r="I11" s="99" t="str">
        <f>IFERROR(__xludf.DUMMYFUNCTION("IMPORTRANGE(""https://docs.google.com/spreadsheets/d/1gHFrRpJ5fnyxfJI-jxT5z1B1L7rSV8E5sIZEN90Rfhc/edit#gid=1522333227"",""Rekap KTR!$E$12"")"),"")</f>
        <v/>
      </c>
    </row>
    <row r="12">
      <c r="B12" s="98" t="str">
        <f>'SPM-Uspro'!$C$16</f>
        <v>#REF!</v>
      </c>
      <c r="C12" s="99">
        <f>IFERROR(__xludf.DUMMYFUNCTION("IMPORTRANGE(""https://docs.google.com/spreadsheets/d/1saC2UP2JuYJ7WRPxjh8EMf_BSfGZ18Ous8sVKGLr-Ng/edit#gid=1892753874"",""Rekap KTR!$E$6"")"),8.0)</f>
        <v>8</v>
      </c>
      <c r="D12" s="99">
        <f>IFERROR(__xludf.DUMMYFUNCTION("IMPORTRANGE(""https://docs.google.com/spreadsheets/d/1saC2UP2JuYJ7WRPxjh8EMf_BSfGZ18Ous8sVKGLr-Ng/edit#gid=1892753874"",""Rekap KTR!$E$7"")"),41.0)</f>
        <v>41</v>
      </c>
      <c r="E12" s="99">
        <f>IFERROR(__xludf.DUMMYFUNCTION("IMPORTRANGE(""https://docs.google.com/spreadsheets/d/1saC2UP2JuYJ7WRPxjh8EMf_BSfGZ18Ous8sVKGLr-Ng/edit#gid=1892753874"",""Rekap KTR!$E$8"")"),41.0)</f>
        <v>41</v>
      </c>
      <c r="F12" s="99">
        <f>IFERROR(__xludf.DUMMYFUNCTION("IMPORTRANGE(""https://docs.google.com/spreadsheets/d/1saC2UP2JuYJ7WRPxjh8EMf_BSfGZ18Ous8sVKGLr-Ng/edit#gid=1892753874"",""Rekap KTR!$E$9"")"),14.0)</f>
        <v>14</v>
      </c>
      <c r="G12" s="99">
        <f>IFERROR(__xludf.DUMMYFUNCTION("IMPORTRANGE(""https://docs.google.com/spreadsheets/d/1saC2UP2JuYJ7WRPxjh8EMf_BSfGZ18Ous8sVKGLr-Ng/edit#gid=1892753874"",""Rekap KTR!$E$10"")"),0.0)</f>
        <v>0</v>
      </c>
      <c r="H12" s="99">
        <f>IFERROR(__xludf.DUMMYFUNCTION("IMPORTRANGE(""https://docs.google.com/spreadsheets/d/1saC2UP2JuYJ7WRPxjh8EMf_BSfGZ18Ous8sVKGLr-Ng/edit#gid=1892753874"",""Rekap KTR!$E$11"")"),0.0)</f>
        <v>0</v>
      </c>
      <c r="I12" s="99">
        <f>IFERROR(__xludf.DUMMYFUNCTION("IMPORTRANGE(""https://docs.google.com/spreadsheets/d/1saC2UP2JuYJ7WRPxjh8EMf_BSfGZ18Ous8sVKGLr-Ng/edit#gid=1892753874"",""Rekap KTR!$E$12"")"),0.0)</f>
        <v>0</v>
      </c>
    </row>
    <row r="13">
      <c r="B13" s="98" t="str">
        <f>'SPM-Uspro'!$C$17</f>
        <v>#REF!</v>
      </c>
      <c r="C13" s="99">
        <f>IFERROR(__xludf.DUMMYFUNCTION("IMPORTRANGE(""https://docs.google.com/spreadsheets/d/1ApPPV7RPuDI1EDOKjkoDXkV5Yd_NofeQTYTtAHUYGGw/edit#gid=1522333227"",""Rekap KTR!$E$6"")"),3.0)</f>
        <v>3</v>
      </c>
      <c r="D13" s="99">
        <f>IFERROR(__xludf.DUMMYFUNCTION("IMPORTRANGE(""https://docs.google.com/spreadsheets/d/1ApPPV7RPuDI1EDOKjkoDXkV5Yd_NofeQTYTtAHUYGGw/edit#gid=1522333227"",""Rekap KTR!$E$7"")"),20.0)</f>
        <v>20</v>
      </c>
      <c r="E13" s="99">
        <f>IFERROR(__xludf.DUMMYFUNCTION("IMPORTRANGE(""https://docs.google.com/spreadsheets/d/1ApPPV7RPuDI1EDOKjkoDXkV5Yd_NofeQTYTtAHUYGGw/edit#gid=1522333227"",""Rekap KTR!$E$8"")"),6.0)</f>
        <v>6</v>
      </c>
      <c r="F13" s="99" t="str">
        <f>IFERROR(__xludf.DUMMYFUNCTION("IMPORTRANGE(""https://docs.google.com/spreadsheets/d/1ApPPV7RPuDI1EDOKjkoDXkV5Yd_NofeQTYTtAHUYGGw/edit#gid=1522333227"",""Rekap KTR!$E$9"")"),"")</f>
        <v/>
      </c>
      <c r="G13" s="99" t="str">
        <f>IFERROR(__xludf.DUMMYFUNCTION("IMPORTRANGE(""https://docs.google.com/spreadsheets/d/1ApPPV7RPuDI1EDOKjkoDXkV5Yd_NofeQTYTtAHUYGGw/edit#gid=1522333227"",""Rekap KTR!$E$10"")"),"")</f>
        <v/>
      </c>
      <c r="H13" s="99" t="str">
        <f>IFERROR(__xludf.DUMMYFUNCTION("IMPORTRANGE(""https://docs.google.com/spreadsheets/d/1ApPPV7RPuDI1EDOKjkoDXkV5Yd_NofeQTYTtAHUYGGw/edit#gid=1522333227"",""Rekap KTR!$E$11"")"),"")</f>
        <v/>
      </c>
      <c r="I13" s="99" t="str">
        <f>IFERROR(__xludf.DUMMYFUNCTION("IMPORTRANGE(""https://docs.google.com/spreadsheets/d/1ApPPV7RPuDI1EDOKjkoDXkV5Yd_NofeQTYTtAHUYGGw/edit#gid=1522333227"",""Rekap KTR!$E$12"")"),"")</f>
        <v/>
      </c>
    </row>
    <row r="14">
      <c r="B14" s="98" t="str">
        <f>'SPM-Uspro'!$C$18</f>
        <v>#REF!</v>
      </c>
      <c r="C14" s="99">
        <f>IFERROR(__xludf.DUMMYFUNCTION("IMPORTRANGE(""https://docs.google.com/spreadsheets/d/1iV_nqIfkAdyO_vl_QARxWbfnGcK2KlCCS94aVJ2QbTI/edit#gid=1522333227"",""Rekap KTR!$E$6"")"),6.0)</f>
        <v>6</v>
      </c>
      <c r="D14" s="99">
        <f>IFERROR(__xludf.DUMMYFUNCTION("IMPORTRANGE(""https://docs.google.com/spreadsheets/d/1iV_nqIfkAdyO_vl_QARxWbfnGcK2KlCCS94aVJ2QbTI/edit#gid=1522333227"",""Rekap KTR!$E$7"")"),26.0)</f>
        <v>26</v>
      </c>
      <c r="E14" s="99">
        <f>IFERROR(__xludf.DUMMYFUNCTION("IMPORTRANGE(""https://docs.google.com/spreadsheets/d/1iV_nqIfkAdyO_vl_QARxWbfnGcK2KlCCS94aVJ2QbTI/edit#gid=1522333227"",""Rekap KTR!$E$8"")"),13.0)</f>
        <v>13</v>
      </c>
      <c r="F14" s="99">
        <f>IFERROR(__xludf.DUMMYFUNCTION("IMPORTRANGE(""https://docs.google.com/spreadsheets/d/1iV_nqIfkAdyO_vl_QARxWbfnGcK2KlCCS94aVJ2QbTI/edit#gid=1522333227"",""Rekap KTR!$E$9"")"),0.0)</f>
        <v>0</v>
      </c>
      <c r="G14" s="99">
        <f>IFERROR(__xludf.DUMMYFUNCTION("IMPORTRANGE(""https://docs.google.com/spreadsheets/d/1iV_nqIfkAdyO_vl_QARxWbfnGcK2KlCCS94aVJ2QbTI/edit#gid=1522333227"",""Rekap KTR!$E$10"")"),0.0)</f>
        <v>0</v>
      </c>
      <c r="H14" s="99">
        <f>IFERROR(__xludf.DUMMYFUNCTION("IMPORTRANGE(""https://docs.google.com/spreadsheets/d/1iV_nqIfkAdyO_vl_QARxWbfnGcK2KlCCS94aVJ2QbTI/edit#gid=1522333227"",""Rekap KTR!$E$11"")"),0.0)</f>
        <v>0</v>
      </c>
      <c r="I14" s="99">
        <f>IFERROR(__xludf.DUMMYFUNCTION("IMPORTRANGE(""https://docs.google.com/spreadsheets/d/1iV_nqIfkAdyO_vl_QARxWbfnGcK2KlCCS94aVJ2QbTI/edit#gid=1522333227"",""Rekap KTR!$E$12"")"),0.0)</f>
        <v>0</v>
      </c>
    </row>
    <row r="15">
      <c r="B15" s="98" t="str">
        <f>'SPM-Uspro'!$C$19</f>
        <v>#REF!</v>
      </c>
      <c r="C15" s="99">
        <f>IFERROR(__xludf.DUMMYFUNCTION("IMPORTRANGE(""https://docs.google.com/spreadsheets/d/1zz70Lj6oBg1MOPSG6KJcsMeqBNtXMHYICRkg7kpt_d0/edit#gid=1892753874"",""Rekap KTR!$E$6"")"),9.0)</f>
        <v>9</v>
      </c>
      <c r="D15" s="99">
        <f>IFERROR(__xludf.DUMMYFUNCTION("IMPORTRANGE(""https://docs.google.com/spreadsheets/d/1zz70Lj6oBg1MOPSG6KJcsMeqBNtXMHYICRkg7kpt_d0/edit#gid=1892753874"",""Rekap KTR!$E$7"")"),47.0)</f>
        <v>47</v>
      </c>
      <c r="E15" s="99">
        <f>IFERROR(__xludf.DUMMYFUNCTION("IMPORTRANGE(""https://docs.google.com/spreadsheets/d/1zz70Lj6oBg1MOPSG6KJcsMeqBNtXMHYICRkg7kpt_d0/edit#gid=1892753874"",""Rekap KTR!$E$8"")"),29.0)</f>
        <v>29</v>
      </c>
      <c r="F15" s="99">
        <f>IFERROR(__xludf.DUMMYFUNCTION("IMPORTRANGE(""https://docs.google.com/spreadsheets/d/1zz70Lj6oBg1MOPSG6KJcsMeqBNtXMHYICRkg7kpt_d0/edit#gid=1892753874"",""Rekap KTR!$E$9"")"),3.0)</f>
        <v>3</v>
      </c>
      <c r="G15" s="99">
        <f>IFERROR(__xludf.DUMMYFUNCTION("IMPORTRANGE(""https://docs.google.com/spreadsheets/d/1zz70Lj6oBg1MOPSG6KJcsMeqBNtXMHYICRkg7kpt_d0/edit#gid=1892753874"",""Rekap KTR!$E$10"")"),1.0)</f>
        <v>1</v>
      </c>
      <c r="H15" s="99">
        <f>IFERROR(__xludf.DUMMYFUNCTION("IMPORTRANGE(""https://docs.google.com/spreadsheets/d/1zz70Lj6oBg1MOPSG6KJcsMeqBNtXMHYICRkg7kpt_d0/edit#gid=1892753874"",""Rekap KTR!$E$11"")"),4.0)</f>
        <v>4</v>
      </c>
      <c r="I15" s="99">
        <f>IFERROR(__xludf.DUMMYFUNCTION("IMPORTRANGE(""https://docs.google.com/spreadsheets/d/1zz70Lj6oBg1MOPSG6KJcsMeqBNtXMHYICRkg7kpt_d0/edit#gid=1892753874"",""Rekap KTR!$E$12"")"),4.0)</f>
        <v>4</v>
      </c>
    </row>
    <row r="16">
      <c r="B16" s="98" t="str">
        <f>'SPM-Uspro'!$C$20</f>
        <v>#REF!</v>
      </c>
      <c r="C16" s="99">
        <f>IFERROR(__xludf.DUMMYFUNCTION("IMPORTRANGE(""https://docs.google.com/spreadsheets/d/1773f1iHRnXhbrVjAHR7zUpu3neZdvtp1a2ikB9LJu8U/edit#gid=1522333227"",""Rekap KTR!$E$6"")"),39.0)</f>
        <v>39</v>
      </c>
      <c r="D16" s="99">
        <f>IFERROR(__xludf.DUMMYFUNCTION("IMPORTRANGE(""https://docs.google.com/spreadsheets/d/1773f1iHRnXhbrVjAHR7zUpu3neZdvtp1a2ikB9LJu8U/edit#gid=1522333227"",""Rekap KTR!$E$7"")"),43.0)</f>
        <v>43</v>
      </c>
      <c r="E16" s="99">
        <f>IFERROR(__xludf.DUMMYFUNCTION("IMPORTRANGE(""https://docs.google.com/spreadsheets/d/1773f1iHRnXhbrVjAHR7zUpu3neZdvtp1a2ikB9LJu8U/edit#gid=1522333227"",""Rekap KTR!$E$8"")"),32.0)</f>
        <v>32</v>
      </c>
      <c r="F16" s="99">
        <f>IFERROR(__xludf.DUMMYFUNCTION("IMPORTRANGE(""https://docs.google.com/spreadsheets/d/1773f1iHRnXhbrVjAHR7zUpu3neZdvtp1a2ikB9LJu8U/edit#gid=1522333227"",""Rekap KTR!$E$9"")"),21.0)</f>
        <v>21</v>
      </c>
      <c r="G16" s="99">
        <f>IFERROR(__xludf.DUMMYFUNCTION("IMPORTRANGE(""https://docs.google.com/spreadsheets/d/1773f1iHRnXhbrVjAHR7zUpu3neZdvtp1a2ikB9LJu8U/edit#gid=1522333227"",""Rekap KTR!$E$10"")"),0.0)</f>
        <v>0</v>
      </c>
      <c r="H16" s="99">
        <f>IFERROR(__xludf.DUMMYFUNCTION("IMPORTRANGE(""https://docs.google.com/spreadsheets/d/1773f1iHRnXhbrVjAHR7zUpu3neZdvtp1a2ikB9LJu8U/edit#gid=1522333227"",""Rekap KTR!$E$11"")"),16.0)</f>
        <v>16</v>
      </c>
      <c r="I16" s="99">
        <f>IFERROR(__xludf.DUMMYFUNCTION("IMPORTRANGE(""https://docs.google.com/spreadsheets/d/1773f1iHRnXhbrVjAHR7zUpu3neZdvtp1a2ikB9LJu8U/edit#gid=1522333227"",""Rekap KTR!$E$12"")"),0.0)</f>
        <v>0</v>
      </c>
    </row>
    <row r="17">
      <c r="B17" s="98" t="str">
        <f>'SPM-Uspro'!$C$21</f>
        <v>#REF!</v>
      </c>
      <c r="C17" s="99">
        <f>IFERROR(__xludf.DUMMYFUNCTION("IMPORTRANGE(""https://docs.google.com/spreadsheets/d/10iNzN1LqaStEosZKEbqcoOm3IdodNsG31q_nR0Y6WGo/edit#gid=1522333227"",""Rekap KTR!$E$6"")"),1.0)</f>
        <v>1</v>
      </c>
      <c r="D17" s="99">
        <f>IFERROR(__xludf.DUMMYFUNCTION("IMPORTRANGE(""https://docs.google.com/spreadsheets/d/10iNzN1LqaStEosZKEbqcoOm3IdodNsG31q_nR0Y6WGo/edit#gid=1522333227"",""Rekap KTR!$E$7"")"),24.0)</f>
        <v>24</v>
      </c>
      <c r="E17" s="99">
        <f>IFERROR(__xludf.DUMMYFUNCTION("IMPORTRANGE(""https://docs.google.com/spreadsheets/d/10iNzN1LqaStEosZKEbqcoOm3IdodNsG31q_nR0Y6WGo/edit#gid=1522333227"",""Rekap KTR!$E$8"")"),2.0)</f>
        <v>2</v>
      </c>
      <c r="F17" s="99">
        <f>IFERROR(__xludf.DUMMYFUNCTION("IMPORTRANGE(""https://docs.google.com/spreadsheets/d/10iNzN1LqaStEosZKEbqcoOm3IdodNsG31q_nR0Y6WGo/edit#gid=1522333227"",""Rekap KTR!$E$9"")"),3.0)</f>
        <v>3</v>
      </c>
      <c r="G17" s="99">
        <f>IFERROR(__xludf.DUMMYFUNCTION("IMPORTRANGE(""https://docs.google.com/spreadsheets/d/10iNzN1LqaStEosZKEbqcoOm3IdodNsG31q_nR0Y6WGo/edit#gid=1522333227"",""Rekap KTR!$E$10"")"),0.0)</f>
        <v>0</v>
      </c>
      <c r="H17" s="99">
        <f>IFERROR(__xludf.DUMMYFUNCTION("IMPORTRANGE(""https://docs.google.com/spreadsheets/d/10iNzN1LqaStEosZKEbqcoOm3IdodNsG31q_nR0Y6WGo/edit#gid=1522333227"",""Rekap KTR!$E$11"")"),2.0)</f>
        <v>2</v>
      </c>
      <c r="I17" s="99">
        <f>IFERROR(__xludf.DUMMYFUNCTION("IMPORTRANGE(""https://docs.google.com/spreadsheets/d/10iNzN1LqaStEosZKEbqcoOm3IdodNsG31q_nR0Y6WGo/edit#gid=1522333227"",""Rekap KTR!$E$12"")"),1.0)</f>
        <v>1</v>
      </c>
    </row>
    <row r="18">
      <c r="B18" s="98" t="str">
        <f>'SPM-Uspro'!$C$22</f>
        <v>#REF!</v>
      </c>
      <c r="C18" s="99">
        <f>IFERROR(__xludf.DUMMYFUNCTION("IMPORTRANGE(""https://docs.google.com/spreadsheets/d/17PsIU8VcCQeO2M4DM42K9vv32GkafaaF1LxQevQ8tAQ/edit#gid=1892753874"",""Rekap KTR!$E$6"")"),2.0)</f>
        <v>2</v>
      </c>
      <c r="D18" s="99">
        <f>IFERROR(__xludf.DUMMYFUNCTION("IMPORTRANGE(""https://docs.google.com/spreadsheets/d/17PsIU8VcCQeO2M4DM42K9vv32GkafaaF1LxQevQ8tAQ/edit#gid=1892753874"",""Rekap KTR!$E$7"")"),21.0)</f>
        <v>21</v>
      </c>
      <c r="E18" s="99">
        <f>IFERROR(__xludf.DUMMYFUNCTION("IMPORTRANGE(""https://docs.google.com/spreadsheets/d/17PsIU8VcCQeO2M4DM42K9vv32GkafaaF1LxQevQ8tAQ/edit#gid=1892753874"",""Rekap KTR!$E$8"")"),17.0)</f>
        <v>17</v>
      </c>
      <c r="F18" s="99">
        <f>IFERROR(__xludf.DUMMYFUNCTION("IMPORTRANGE(""https://docs.google.com/spreadsheets/d/17PsIU8VcCQeO2M4DM42K9vv32GkafaaF1LxQevQ8tAQ/edit#gid=1892753874"",""Rekap KTR!$E$9"")"),0.0)</f>
        <v>0</v>
      </c>
      <c r="G18" s="99">
        <f>IFERROR(__xludf.DUMMYFUNCTION("IMPORTRANGE(""https://docs.google.com/spreadsheets/d/17PsIU8VcCQeO2M4DM42K9vv32GkafaaF1LxQevQ8tAQ/edit#gid=1892753874"",""Rekap KTR!$E$10"")"),0.0)</f>
        <v>0</v>
      </c>
      <c r="H18" s="99">
        <f>IFERROR(__xludf.DUMMYFUNCTION("IMPORTRANGE(""https://docs.google.com/spreadsheets/d/17PsIU8VcCQeO2M4DM42K9vv32GkafaaF1LxQevQ8tAQ/edit#gid=1892753874"",""Rekap KTR!$E$11"")"),0.0)</f>
        <v>0</v>
      </c>
      <c r="I18" s="99">
        <f>IFERROR(__xludf.DUMMYFUNCTION("IMPORTRANGE(""https://docs.google.com/spreadsheets/d/17PsIU8VcCQeO2M4DM42K9vv32GkafaaF1LxQevQ8tAQ/edit#gid=1892753874"",""Rekap KTR!$E$12"")"),0.0)</f>
        <v>0</v>
      </c>
    </row>
    <row r="19">
      <c r="B19" s="98" t="str">
        <f>'SPM-Uspro'!$C$23</f>
        <v>#REF!</v>
      </c>
      <c r="C19" s="99">
        <f>IFERROR(__xludf.DUMMYFUNCTION("IMPORTRANGE(""https://docs.google.com/spreadsheets/d/1d0Y9C6M4-a1TT0nIK2Gc4IXnbVyxoBB3v7o1biNGAwY/edit#gid=1892753874"",""Rekap KTR!$E$6"")"),6.0)</f>
        <v>6</v>
      </c>
      <c r="D19" s="99">
        <f>IFERROR(__xludf.DUMMYFUNCTION("IMPORTRANGE(""https://docs.google.com/spreadsheets/d/1d0Y9C6M4-a1TT0nIK2Gc4IXnbVyxoBB3v7o1biNGAwY/edit#gid=1892753874"",""Rekap KTR!$E$7"")"),27.0)</f>
        <v>27</v>
      </c>
      <c r="E19" s="99">
        <f>IFERROR(__xludf.DUMMYFUNCTION("IMPORTRANGE(""https://docs.google.com/spreadsheets/d/1d0Y9C6M4-a1TT0nIK2Gc4IXnbVyxoBB3v7o1biNGAwY/edit#gid=1892753874"",""Rekap KTR!$E$8"")"),7.0)</f>
        <v>7</v>
      </c>
      <c r="F19" s="99">
        <f>IFERROR(__xludf.DUMMYFUNCTION("IMPORTRANGE(""https://docs.google.com/spreadsheets/d/1d0Y9C6M4-a1TT0nIK2Gc4IXnbVyxoBB3v7o1biNGAwY/edit#gid=1892753874"",""Rekap KTR!$E$9"")"),0.0)</f>
        <v>0</v>
      </c>
      <c r="G19" s="99">
        <f>IFERROR(__xludf.DUMMYFUNCTION("IMPORTRANGE(""https://docs.google.com/spreadsheets/d/1d0Y9C6M4-a1TT0nIK2Gc4IXnbVyxoBB3v7o1biNGAwY/edit#gid=1892753874"",""Rekap KTR!$E$10"")"),0.0)</f>
        <v>0</v>
      </c>
      <c r="H19" s="99">
        <f>IFERROR(__xludf.DUMMYFUNCTION("IMPORTRANGE(""https://docs.google.com/spreadsheets/d/1d0Y9C6M4-a1TT0nIK2Gc4IXnbVyxoBB3v7o1biNGAwY/edit#gid=1892753874"",""Rekap KTR!$E$11"")"),0.0)</f>
        <v>0</v>
      </c>
      <c r="I19" s="99">
        <f>IFERROR(__xludf.DUMMYFUNCTION("IMPORTRANGE(""https://docs.google.com/spreadsheets/d/1d0Y9C6M4-a1TT0nIK2Gc4IXnbVyxoBB3v7o1biNGAwY/edit#gid=1892753874"",""Rekap KTR!$E$12"")"),0.0)</f>
        <v>0</v>
      </c>
    </row>
    <row r="20">
      <c r="B20" s="98" t="str">
        <f>'SPM-Uspro'!$C$24</f>
        <v>#REF!</v>
      </c>
      <c r="C20" s="99">
        <f>IFERROR(__xludf.DUMMYFUNCTION("IMPORTRANGE(""https://docs.google.com/spreadsheets/d/1fXA1yQzUNddp7fjR2KF22o4rRJu9lP9Ja9Oi1mRbg_E/edit#gid=1892753874"",""Rekap KTR!$E$6"")"),2.0)</f>
        <v>2</v>
      </c>
      <c r="D20" s="99">
        <f>IFERROR(__xludf.DUMMYFUNCTION("IMPORTRANGE(""https://docs.google.com/spreadsheets/d/1fXA1yQzUNddp7fjR2KF22o4rRJu9lP9Ja9Oi1mRbg_E/edit#gid=1892753874"",""Rekap KTR!$E$7"")"),31.0)</f>
        <v>31</v>
      </c>
      <c r="E20" s="99">
        <f>IFERROR(__xludf.DUMMYFUNCTION("IMPORTRANGE(""https://docs.google.com/spreadsheets/d/1fXA1yQzUNddp7fjR2KF22o4rRJu9lP9Ja9Oi1mRbg_E/edit#gid=1892753874"",""Rekap KTR!$E$8"")"),29.0)</f>
        <v>29</v>
      </c>
      <c r="F20" s="99">
        <f>IFERROR(__xludf.DUMMYFUNCTION("IMPORTRANGE(""https://docs.google.com/spreadsheets/d/1fXA1yQzUNddp7fjR2KF22o4rRJu9lP9Ja9Oi1mRbg_E/edit#gid=1892753874"",""Rekap KTR!$E$9"")"),19.0)</f>
        <v>19</v>
      </c>
      <c r="G20" s="99">
        <f>IFERROR(__xludf.DUMMYFUNCTION("IMPORTRANGE(""https://docs.google.com/spreadsheets/d/1fXA1yQzUNddp7fjR2KF22o4rRJu9lP9Ja9Oi1mRbg_E/edit#gid=1892753874"",""Rekap KTR!$E$10"")"),1.0)</f>
        <v>1</v>
      </c>
      <c r="H20" s="99">
        <f>IFERROR(__xludf.DUMMYFUNCTION("IMPORTRANGE(""https://docs.google.com/spreadsheets/d/1fXA1yQzUNddp7fjR2KF22o4rRJu9lP9Ja9Oi1mRbg_E/edit#gid=1892753874"",""Rekap KTR!$E$11"")"),1.0)</f>
        <v>1</v>
      </c>
      <c r="I20" s="99">
        <f>IFERROR(__xludf.DUMMYFUNCTION("IMPORTRANGE(""https://docs.google.com/spreadsheets/d/1fXA1yQzUNddp7fjR2KF22o4rRJu9lP9Ja9Oi1mRbg_E/edit#gid=1892753874"",""Rekap KTR!$E$12"")"),1.0)</f>
        <v>1</v>
      </c>
    </row>
    <row r="21" ht="15.75" customHeight="1">
      <c r="B21" s="98" t="str">
        <f>'SPM-Uspro'!$C$25</f>
        <v>#REF!</v>
      </c>
      <c r="C21" s="99">
        <f>IFERROR(__xludf.DUMMYFUNCTION("IMPORTRANGE(""https://docs.google.com/spreadsheets/d/155aL1qCqCleHwMP0Y8LT5akEbK27R0RIka-lAkeoeEo/edit#gid=1892753874"",""Rekap KTR!$E$6"")"),10.0)</f>
        <v>10</v>
      </c>
      <c r="D21" s="99">
        <f>IFERROR(__xludf.DUMMYFUNCTION("IMPORTRANGE(""https://docs.google.com/spreadsheets/d/155aL1qCqCleHwMP0Y8LT5akEbK27R0RIka-lAkeoeEo/edit#gid=1892753874"",""Rekap KTR!$E$7"")"),47.0)</f>
        <v>47</v>
      </c>
      <c r="E21" s="99">
        <f>IFERROR(__xludf.DUMMYFUNCTION("IMPORTRANGE(""https://docs.google.com/spreadsheets/d/155aL1qCqCleHwMP0Y8LT5akEbK27R0RIka-lAkeoeEo/edit#gid=1892753874"",""Rekap KTR!$E$8"")"),5.0)</f>
        <v>5</v>
      </c>
      <c r="F21" s="99" t="str">
        <f>IFERROR(__xludf.DUMMYFUNCTION("IMPORTRANGE(""https://docs.google.com/spreadsheets/d/155aL1qCqCleHwMP0Y8LT5akEbK27R0RIka-lAkeoeEo/edit#gid=1892753874"",""Rekap KTR!$E$9"")"),"")</f>
        <v/>
      </c>
      <c r="G21" s="99" t="str">
        <f>IFERROR(__xludf.DUMMYFUNCTION("IMPORTRANGE(""https://docs.google.com/spreadsheets/d/155aL1qCqCleHwMP0Y8LT5akEbK27R0RIka-lAkeoeEo/edit#gid=1892753874"",""Rekap KTR!$E$10"")"),"")</f>
        <v/>
      </c>
      <c r="H21" s="99" t="str">
        <f>IFERROR(__xludf.DUMMYFUNCTION("IMPORTRANGE(""https://docs.google.com/spreadsheets/d/155aL1qCqCleHwMP0Y8LT5akEbK27R0RIka-lAkeoeEo/edit#gid=1892753874"",""Rekap KTR!$E$11"")"),"")</f>
        <v/>
      </c>
      <c r="I21" s="99" t="str">
        <f>IFERROR(__xludf.DUMMYFUNCTION("IMPORTRANGE(""https://docs.google.com/spreadsheets/d/155aL1qCqCleHwMP0Y8LT5akEbK27R0RIka-lAkeoeEo/edit#gid=1892753874"",""Rekap KTR!$E$12"")"),"")</f>
        <v/>
      </c>
    </row>
    <row r="22" ht="15.75" customHeight="1">
      <c r="B22" s="98" t="str">
        <f>'SPM-Uspro'!$C$26</f>
        <v>#REF!</v>
      </c>
      <c r="C22" s="99">
        <f>IFERROR(__xludf.DUMMYFUNCTION("IMPORTRANGE(""https://docs.google.com/spreadsheets/d/13FRR1udp0c0o6Nmp_8YHiON78PXr-L4FqQQ028JcBYY/edit#gid=1522333227"",""Rekap KTR!$E$6"")"),7.0)</f>
        <v>7</v>
      </c>
      <c r="D22" s="99">
        <f>IFERROR(__xludf.DUMMYFUNCTION("IMPORTRANGE(""https://docs.google.com/spreadsheets/d/13FRR1udp0c0o6Nmp_8YHiON78PXr-L4FqQQ028JcBYY/edit#gid=1522333227"",""Rekap KTR!$E$7"")"),31.0)</f>
        <v>31</v>
      </c>
      <c r="E22" s="99">
        <f>IFERROR(__xludf.DUMMYFUNCTION("IMPORTRANGE(""https://docs.google.com/spreadsheets/d/13FRR1udp0c0o6Nmp_8YHiON78PXr-L4FqQQ028JcBYY/edit#gid=1522333227"",""Rekap KTR!$E$8"")"),2.0)</f>
        <v>2</v>
      </c>
      <c r="F22" s="99" t="str">
        <f>IFERROR(__xludf.DUMMYFUNCTION("IMPORTRANGE(""https://docs.google.com/spreadsheets/d/13FRR1udp0c0o6Nmp_8YHiON78PXr-L4FqQQ028JcBYY/edit#gid=1522333227"",""Rekap KTR!$E$9"")"),"")</f>
        <v/>
      </c>
      <c r="G22" s="99" t="str">
        <f>IFERROR(__xludf.DUMMYFUNCTION("IMPORTRANGE(""https://docs.google.com/spreadsheets/d/13FRR1udp0c0o6Nmp_8YHiON78PXr-L4FqQQ028JcBYY/edit#gid=1522333227"",""Rekap KTR!$E$10"")"),"")</f>
        <v/>
      </c>
      <c r="H22" s="99" t="str">
        <f>IFERROR(__xludf.DUMMYFUNCTION("IMPORTRANGE(""https://docs.google.com/spreadsheets/d/13FRR1udp0c0o6Nmp_8YHiON78PXr-L4FqQQ028JcBYY/edit#gid=1522333227"",""Rekap KTR!$E$11"")"),"")</f>
        <v/>
      </c>
      <c r="I22" s="99" t="str">
        <f>IFERROR(__xludf.DUMMYFUNCTION("IMPORTRANGE(""https://docs.google.com/spreadsheets/d/13FRR1udp0c0o6Nmp_8YHiON78PXr-L4FqQQ028JcBYY/edit#gid=1522333227"",""Rekap KTR!$E$12"")"),"")</f>
        <v/>
      </c>
    </row>
    <row r="23" ht="15.75" customHeight="1">
      <c r="B23" s="98" t="str">
        <f>'SPM-Uspro'!$C$27</f>
        <v>#REF!</v>
      </c>
      <c r="C23" s="99">
        <f>IFERROR(__xludf.DUMMYFUNCTION("IMPORTRANGE(""https://docs.google.com/spreadsheets/d/1PVwe4VvYfj1Vj424c9kO9TcQogsBM6TpXMbFve9togc/edit#gid=1522333227"",""Rekap KTR!$E$6"")"),5.0)</f>
        <v>5</v>
      </c>
      <c r="D23" s="99">
        <f>IFERROR(__xludf.DUMMYFUNCTION("IMPORTRANGE(""https://docs.google.com/spreadsheets/d/1PVwe4VvYfj1Vj424c9kO9TcQogsBM6TpXMbFve9togc/edit#gid=1522333227"",""Rekap KTR!$E$7"")"),38.0)</f>
        <v>38</v>
      </c>
      <c r="E23" s="99">
        <f>IFERROR(__xludf.DUMMYFUNCTION("IMPORTRANGE(""https://docs.google.com/spreadsheets/d/1PVwe4VvYfj1Vj424c9kO9TcQogsBM6TpXMbFve9togc/edit#gid=1522333227"",""Rekap KTR!$E$8"")"),17.0)</f>
        <v>17</v>
      </c>
      <c r="F23" s="99">
        <f>IFERROR(__xludf.DUMMYFUNCTION("IMPORTRANGE(""https://docs.google.com/spreadsheets/d/1PVwe4VvYfj1Vj424c9kO9TcQogsBM6TpXMbFve9togc/edit#gid=1522333227"",""Rekap KTR!$E$9"")"),0.0)</f>
        <v>0</v>
      </c>
      <c r="G23" s="99">
        <f>IFERROR(__xludf.DUMMYFUNCTION("IMPORTRANGE(""https://docs.google.com/spreadsheets/d/1PVwe4VvYfj1Vj424c9kO9TcQogsBM6TpXMbFve9togc/edit#gid=1522333227"",""Rekap KTR!$E$10"")"),0.0)</f>
        <v>0</v>
      </c>
      <c r="H23" s="99">
        <f>IFERROR(__xludf.DUMMYFUNCTION("IMPORTRANGE(""https://docs.google.com/spreadsheets/d/1PVwe4VvYfj1Vj424c9kO9TcQogsBM6TpXMbFve9togc/edit#gid=1522333227"",""Rekap KTR!$E$11"")"),0.0)</f>
        <v>0</v>
      </c>
      <c r="I23" s="99">
        <f>IFERROR(__xludf.DUMMYFUNCTION("IMPORTRANGE(""https://docs.google.com/spreadsheets/d/1PVwe4VvYfj1Vj424c9kO9TcQogsBM6TpXMbFve9togc/edit#gid=1522333227"",""Rekap KTR!$E$12"")"),0.0)</f>
        <v>0</v>
      </c>
    </row>
    <row r="24" ht="15.75" customHeight="1">
      <c r="B24" s="98" t="str">
        <f>'SPM-Uspro'!$C$28</f>
        <v>#REF!</v>
      </c>
      <c r="C24" s="99" t="str">
        <f>IFERROR(__xludf.DUMMYFUNCTION("IMPORTRANGE(""https://docs.google.com/spreadsheets/d/15JUTNcWxWGx3Ha8qvwbxgnbDbT4v7N3vZYvqPZ68_Xg/edit#gid=1892753874"",""Rekap KTR!$E$6"")"),"")</f>
        <v/>
      </c>
      <c r="D24" s="99">
        <f>IFERROR(__xludf.DUMMYFUNCTION("IMPORTRANGE(""https://docs.google.com/spreadsheets/d/15JUTNcWxWGx3Ha8qvwbxgnbDbT4v7N3vZYvqPZ68_Xg/edit#gid=1892753874"",""Rekap KTR!$E$7"")"),19.0)</f>
        <v>19</v>
      </c>
      <c r="E24" s="99" t="str">
        <f>IFERROR(__xludf.DUMMYFUNCTION("IMPORTRANGE(""https://docs.google.com/spreadsheets/d/15JUTNcWxWGx3Ha8qvwbxgnbDbT4v7N3vZYvqPZ68_Xg/edit#gid=1892753874"",""Rekap KTR!$E$8"")"),"")</f>
        <v/>
      </c>
      <c r="F24" s="99" t="str">
        <f>IFERROR(__xludf.DUMMYFUNCTION("IMPORTRANGE(""https://docs.google.com/spreadsheets/d/15JUTNcWxWGx3Ha8qvwbxgnbDbT4v7N3vZYvqPZ68_Xg/edit#gid=1892753874"",""Rekap KTR!$E$9"")"),"")</f>
        <v/>
      </c>
      <c r="G24" s="99" t="str">
        <f>IFERROR(__xludf.DUMMYFUNCTION("IMPORTRANGE(""https://docs.google.com/spreadsheets/d/15JUTNcWxWGx3Ha8qvwbxgnbDbT4v7N3vZYvqPZ68_Xg/edit#gid=1892753874"",""Rekap KTR!$E$10"")"),"")</f>
        <v/>
      </c>
      <c r="H24" s="99" t="str">
        <f>IFERROR(__xludf.DUMMYFUNCTION("IMPORTRANGE(""https://docs.google.com/spreadsheets/d/15JUTNcWxWGx3Ha8qvwbxgnbDbT4v7N3vZYvqPZ68_Xg/edit#gid=1892753874"",""Rekap KTR!$E$11"")"),"")</f>
        <v/>
      </c>
      <c r="I24" s="99" t="str">
        <f>IFERROR(__xludf.DUMMYFUNCTION("IMPORTRANGE(""https://docs.google.com/spreadsheets/d/15JUTNcWxWGx3Ha8qvwbxgnbDbT4v7N3vZYvqPZ68_Xg/edit#gid=1892753874"",""Rekap KTR!$E$12"")"),"")</f>
        <v/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3"/>
    <mergeCell ref="A4:B4"/>
    <mergeCell ref="B6:B8"/>
    <mergeCell ref="C6:I6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1.22" defaultRowHeight="15.0"/>
  <cols>
    <col customWidth="1" min="1" max="1" width="16.67"/>
    <col customWidth="1" min="2" max="2" width="11.22"/>
    <col customWidth="1" min="3" max="3" width="11.78"/>
    <col customWidth="1" min="4" max="5" width="11.22"/>
    <col customWidth="1" min="6" max="6" width="12.33"/>
    <col customWidth="1" min="8" max="8" width="13.89"/>
    <col customWidth="1" min="9" max="9" width="13.56"/>
  </cols>
  <sheetData>
    <row r="1">
      <c r="A1" s="79" t="s">
        <v>29</v>
      </c>
      <c r="B1" s="80"/>
      <c r="C1" s="80"/>
      <c r="D1" s="100" t="s">
        <v>42</v>
      </c>
      <c r="E1" s="80"/>
      <c r="F1" s="80"/>
      <c r="G1" s="80"/>
      <c r="H1" s="80"/>
      <c r="I1" s="80"/>
      <c r="J1" s="80"/>
      <c r="K1" s="81"/>
      <c r="L1" s="82"/>
      <c r="M1" s="82"/>
      <c r="N1" s="82"/>
      <c r="O1" s="82"/>
      <c r="P1" s="82"/>
    </row>
    <row r="2">
      <c r="A2" s="83"/>
      <c r="D2" s="83"/>
      <c r="K2" s="81"/>
      <c r="L2" s="82"/>
      <c r="M2" s="82"/>
      <c r="N2" s="82"/>
      <c r="O2" s="82"/>
      <c r="P2" s="82"/>
    </row>
    <row r="3">
      <c r="A3" s="83"/>
      <c r="D3" s="83"/>
      <c r="K3" s="81"/>
      <c r="L3" s="82"/>
      <c r="M3" s="82"/>
      <c r="N3" s="82"/>
      <c r="O3" s="82"/>
      <c r="P3" s="82"/>
    </row>
    <row r="4" ht="24.75" customHeight="1">
      <c r="A4" s="85" t="s">
        <v>32</v>
      </c>
      <c r="B4" s="86"/>
      <c r="C4" s="86"/>
      <c r="D4" s="83"/>
      <c r="K4" s="81"/>
      <c r="L4" s="82"/>
      <c r="M4" s="82"/>
      <c r="N4" s="82"/>
      <c r="O4" s="82"/>
      <c r="P4" s="82"/>
    </row>
    <row r="6" ht="22.5" customHeight="1">
      <c r="A6" s="101" t="s">
        <v>43</v>
      </c>
      <c r="B6" s="90"/>
      <c r="C6" s="90"/>
      <c r="D6" s="90"/>
      <c r="E6" s="90"/>
      <c r="F6" s="90"/>
      <c r="G6" s="90"/>
      <c r="H6" s="90"/>
      <c r="I6" s="90"/>
      <c r="J6" s="91"/>
      <c r="K6" s="102"/>
      <c r="L6" s="102"/>
      <c r="M6" s="102"/>
      <c r="N6" s="102"/>
      <c r="O6" s="102"/>
      <c r="P6" s="102"/>
    </row>
    <row r="7">
      <c r="A7" s="103" t="s">
        <v>33</v>
      </c>
      <c r="B7" s="103" t="s">
        <v>44</v>
      </c>
      <c r="C7" s="103" t="s">
        <v>45</v>
      </c>
      <c r="D7" s="103" t="s">
        <v>46</v>
      </c>
      <c r="E7" s="104" t="s">
        <v>47</v>
      </c>
      <c r="F7" s="104" t="s">
        <v>48</v>
      </c>
      <c r="G7" s="104" t="s">
        <v>49</v>
      </c>
      <c r="H7" s="105" t="s">
        <v>50</v>
      </c>
      <c r="I7" s="105" t="s">
        <v>51</v>
      </c>
      <c r="J7" s="105" t="s">
        <v>52</v>
      </c>
    </row>
    <row r="8" ht="15.0" customHeight="1">
      <c r="A8" s="93"/>
      <c r="B8" s="93"/>
      <c r="C8" s="93"/>
      <c r="D8" s="93"/>
      <c r="E8" s="93"/>
      <c r="F8" s="93"/>
      <c r="G8" s="93"/>
      <c r="H8" s="93"/>
      <c r="I8" s="93"/>
      <c r="J8" s="93"/>
    </row>
    <row r="9">
      <c r="A9" s="95"/>
      <c r="B9" s="95"/>
      <c r="C9" s="95"/>
      <c r="D9" s="95"/>
      <c r="E9" s="95"/>
      <c r="F9" s="95"/>
      <c r="G9" s="95"/>
      <c r="H9" s="95"/>
      <c r="I9" s="95"/>
      <c r="J9" s="95"/>
    </row>
    <row r="10">
      <c r="A10" s="98" t="str">
        <f>'SPM-Uspro'!$C$13</f>
        <v>#REF!</v>
      </c>
      <c r="B10" s="99">
        <f>IFERROR(__xludf.DUMMYFUNCTION("IMPORTRANGE(""https://docs.google.com/spreadsheets/d/1P0UTisakTE5EAx-MYEjY2DmhSnLNqqRm6P3NrlYXL2I/edit#gid=1892753874"",""Rekap UBM!$B$9"")"),1.0)</f>
        <v>1</v>
      </c>
      <c r="C10" s="99">
        <f>IFERROR(__xludf.DUMMYFUNCTION("IMPORTRANGE(""https://docs.google.com/spreadsheets/d/1P0UTisakTE5EAx-MYEjY2DmhSnLNqqRm6P3NrlYXL2I/edit#gid=1892753874"",""Rekap UBM!$C$9"")"),1.0)</f>
        <v>1</v>
      </c>
      <c r="D10" s="106">
        <f t="shared" ref="D10:D25" si="1">C10/B10*100</f>
        <v>100</v>
      </c>
      <c r="E10" s="99" t="str">
        <f>IFERROR(__xludf.DUMMYFUNCTION("IMPORTRANGE(""https://docs.google.com/spreadsheets/d/1P0UTisakTE5EAx-MYEjY2DmhSnLNqqRm6P3NrlYXL2I/edit#gid=1892753874"",""Rekap UBM!$E$9"")"),"")</f>
        <v/>
      </c>
      <c r="F10" s="99" t="str">
        <f>IFERROR(__xludf.DUMMYFUNCTION("IMPORTRANGE(""https://docs.google.com/spreadsheets/d/1P0UTisakTE5EAx-MYEjY2DmhSnLNqqRm6P3NrlYXL2I/edit#gid=1892753874"",""Rekap UBM!$F$9"")"),"")</f>
        <v/>
      </c>
      <c r="G10" s="106" t="str">
        <f t="shared" ref="G10:G25" si="2">F10/E10*100</f>
        <v>#DIV/0!</v>
      </c>
      <c r="H10" s="99" t="str">
        <f>IFERROR(__xludf.DUMMYFUNCTION("IMPORTRANGE(""https://docs.google.com/spreadsheets/d/1P0UTisakTE5EAx-MYEjY2DmhSnLNqqRm6P3NrlYXL2I/edit#gid=1892753874"",""Rekap UBM!$H$9"")"),"")</f>
        <v/>
      </c>
      <c r="I10" s="99" t="str">
        <f>IFERROR(__xludf.DUMMYFUNCTION("IMPORTRANGE(""https://docs.google.com/spreadsheets/d/1P0UTisakTE5EAx-MYEjY2DmhSnLNqqRm6P3NrlYXL2I/edit#gid=1892753874"",""Rekap UBM!$I$9"")"),"")</f>
        <v/>
      </c>
      <c r="J10" s="106" t="str">
        <f t="shared" ref="J10:J25" si="3">I10/H10*100</f>
        <v>#DIV/0!</v>
      </c>
    </row>
    <row r="11">
      <c r="A11" s="98" t="str">
        <f>'SPM-Uspro'!$C$14</f>
        <v>#REF!</v>
      </c>
      <c r="B11" s="99">
        <f>IFERROR(__xludf.DUMMYFUNCTION("IMPORTRANGE(""https://docs.google.com/spreadsheets/d/1jB-UnyPBzGq1HOZkIVtft_Wo28OEKcZNsVgS5r_boTE/edit#gid=1522333227"",""Rekap UBM!$B$9"")"),1.0)</f>
        <v>1</v>
      </c>
      <c r="C11" s="99">
        <f>IFERROR(__xludf.DUMMYFUNCTION("IMPORTRANGE(""https://docs.google.com/spreadsheets/d/1jB-UnyPBzGq1HOZkIVtft_Wo28OEKcZNsVgS5r_boTE/edit#gid=1522333227"",""Rekap UBM!$C$9"")"),1.0)</f>
        <v>1</v>
      </c>
      <c r="D11" s="106">
        <f t="shared" si="1"/>
        <v>100</v>
      </c>
      <c r="E11" s="99">
        <f>IFERROR(__xludf.DUMMYFUNCTION("IMPORTRANGE(""https://docs.google.com/spreadsheets/d/1jB-UnyPBzGq1HOZkIVtft_Wo28OEKcZNsVgS5r_boTE/edit#gid=1522333227"",""Rekap UBM!$E$9"")"),12.0)</f>
        <v>12</v>
      </c>
      <c r="F11" s="107">
        <f>IFERROR(__xludf.DUMMYFUNCTION("IMPORTRANGE(""https://docs.google.com/spreadsheets/d/1jB-UnyPBzGq1HOZkIVtft_Wo28OEKcZNsVgS5r_boTE/edit#gid=1522333227"",""Rekap UBM!$F$9"")"),12.0)</f>
        <v>12</v>
      </c>
      <c r="G11" s="106">
        <f t="shared" si="2"/>
        <v>100</v>
      </c>
      <c r="H11" s="107" t="str">
        <f>IFERROR(__xludf.DUMMYFUNCTION("IMPORTRANGE(""https://docs.google.com/spreadsheets/d/1jB-UnyPBzGq1HOZkIVtft_Wo28OEKcZNsVgS5r_boTE/edit#gid=1522333227"",""Rekap UBM!$H$9"")"),"")</f>
        <v/>
      </c>
      <c r="I11" s="107" t="str">
        <f>IFERROR(__xludf.DUMMYFUNCTION("IMPORTRANGE(""https://docs.google.com/spreadsheets/d/1jB-UnyPBzGq1HOZkIVtft_Wo28OEKcZNsVgS5r_boTE/edit#gid=1522333227"",""Rekap UBM!$I$9"")"),"")</f>
        <v/>
      </c>
      <c r="J11" s="106" t="str">
        <f t="shared" si="3"/>
        <v>#DIV/0!</v>
      </c>
    </row>
    <row r="12">
      <c r="A12" s="98" t="str">
        <f>'SPM-Uspro'!$C$15</f>
        <v>#REF!</v>
      </c>
      <c r="B12" s="99">
        <f>IFERROR(__xludf.DUMMYFUNCTION("IMPORTRANGE(""https://docs.google.com/spreadsheets/d/1gHFrRpJ5fnyxfJI-jxT5z1B1L7rSV8E5sIZEN90Rfhc/edit#gid=1522333227"",""Rekap UBM!$B$9"")"),1.0)</f>
        <v>1</v>
      </c>
      <c r="C12" s="99">
        <f>IFERROR(__xludf.DUMMYFUNCTION("IMPORTRANGE(""https://docs.google.com/spreadsheets/d/1gHFrRpJ5fnyxfJI-jxT5z1B1L7rSV8E5sIZEN90Rfhc/edit#gid=1522333227"",""Rekap UBM!$C$9"")"),1.0)</f>
        <v>1</v>
      </c>
      <c r="D12" s="106">
        <f t="shared" si="1"/>
        <v>100</v>
      </c>
      <c r="E12" s="99">
        <f>IFERROR(__xludf.DUMMYFUNCTION("IMPORTRANGE(""https://docs.google.com/spreadsheets/d/1gHFrRpJ5fnyxfJI-jxT5z1B1L7rSV8E5sIZEN90Rfhc/edit#gid=1522333227"",""Rekap UBM!$E$9"")"),3.0)</f>
        <v>3</v>
      </c>
      <c r="F12" s="107">
        <f>IFERROR(__xludf.DUMMYFUNCTION("IMPORTRANGE(""https://docs.google.com/spreadsheets/d/1gHFrRpJ5fnyxfJI-jxT5z1B1L7rSV8E5sIZEN90Rfhc/edit#gid=1522333227"",""Rekap UBM!$F$9"")"),3.0)</f>
        <v>3</v>
      </c>
      <c r="G12" s="106">
        <f t="shared" si="2"/>
        <v>100</v>
      </c>
      <c r="H12" s="107">
        <f>IFERROR(__xludf.DUMMYFUNCTION("IMPORTRANGE(""https://docs.google.com/spreadsheets/d/1gHFrRpJ5fnyxfJI-jxT5z1B1L7rSV8E5sIZEN90Rfhc/edit#gid=1522333227"",""Rekap UBM!$H$9"")"),6.0)</f>
        <v>6</v>
      </c>
      <c r="I12" s="107">
        <f>IFERROR(__xludf.DUMMYFUNCTION("IMPORTRANGE(""https://docs.google.com/spreadsheets/d/1gHFrRpJ5fnyxfJI-jxT5z1B1L7rSV8E5sIZEN90Rfhc/edit#gid=1522333227"",""Rekap UBM!$I$9"")"),6.0)</f>
        <v>6</v>
      </c>
      <c r="J12" s="106">
        <f t="shared" si="3"/>
        <v>100</v>
      </c>
    </row>
    <row r="13">
      <c r="A13" s="98" t="str">
        <f>'SPM-Uspro'!$C$16</f>
        <v>#REF!</v>
      </c>
      <c r="B13" s="99">
        <f>IFERROR(__xludf.DUMMYFUNCTION("IMPORTRANGE(""https://docs.google.com/spreadsheets/d/1saC2UP2JuYJ7WRPxjh8EMf_BSfGZ18Ous8sVKGLr-Ng/edit#gid=1892753874"",""Rekap UBM!$B$9"")"),1.0)</f>
        <v>1</v>
      </c>
      <c r="C13" s="99">
        <f>IFERROR(__xludf.DUMMYFUNCTION("IMPORTRANGE(""https://docs.google.com/spreadsheets/d/1saC2UP2JuYJ7WRPxjh8EMf_BSfGZ18Ous8sVKGLr-Ng/edit#gid=1892753874"",""Rekap UBM!$C$9"")"),1.0)</f>
        <v>1</v>
      </c>
      <c r="D13" s="106">
        <f t="shared" si="1"/>
        <v>100</v>
      </c>
      <c r="E13" s="99">
        <f>IFERROR(__xludf.DUMMYFUNCTION("IMPORTRANGE(""https://docs.google.com/spreadsheets/d/1saC2UP2JuYJ7WRPxjh8EMf_BSfGZ18Ous8sVKGLr-Ng/edit#gid=1892753874"",""Rekap UBM!$E$9"")"),3.0)</f>
        <v>3</v>
      </c>
      <c r="F13" s="107">
        <f>IFERROR(__xludf.DUMMYFUNCTION("IMPORTRANGE(""https://docs.google.com/spreadsheets/d/1saC2UP2JuYJ7WRPxjh8EMf_BSfGZ18Ous8sVKGLr-Ng/edit#gid=1892753874"",""Rekap UBM!$F$9"")"),0.0)</f>
        <v>0</v>
      </c>
      <c r="G13" s="106">
        <f t="shared" si="2"/>
        <v>0</v>
      </c>
      <c r="H13" s="107">
        <f>IFERROR(__xludf.DUMMYFUNCTION("IMPORTRANGE(""https://docs.google.com/spreadsheets/d/1saC2UP2JuYJ7WRPxjh8EMf_BSfGZ18Ous8sVKGLr-Ng/edit#gid=1892753874"",""Rekap UBM!$H$9"")"),5.0)</f>
        <v>5</v>
      </c>
      <c r="I13" s="107">
        <f>IFERROR(__xludf.DUMMYFUNCTION("IMPORTRANGE(""https://docs.google.com/spreadsheets/d/1saC2UP2JuYJ7WRPxjh8EMf_BSfGZ18Ous8sVKGLr-Ng/edit#gid=1892753874"",""Rekap UBM!$I$9"")"),0.0)</f>
        <v>0</v>
      </c>
      <c r="J13" s="106">
        <f t="shared" si="3"/>
        <v>0</v>
      </c>
    </row>
    <row r="14">
      <c r="A14" s="98" t="str">
        <f>'SPM-Uspro'!$C$17</f>
        <v>#REF!</v>
      </c>
      <c r="B14" s="99">
        <f>IFERROR(__xludf.DUMMYFUNCTION("IMPORTRANGE(""https://docs.google.com/spreadsheets/d/1ApPPV7RPuDI1EDOKjkoDXkV5Yd_NofeQTYTtAHUYGGw/edit#gid=1522333227"",""Rekap UBM!$B$9"")"),1.0)</f>
        <v>1</v>
      </c>
      <c r="C14" s="99">
        <f>IFERROR(__xludf.DUMMYFUNCTION("IMPORTRANGE(""https://docs.google.com/spreadsheets/d/1ApPPV7RPuDI1EDOKjkoDXkV5Yd_NofeQTYTtAHUYGGw/edit#gid=1522333227"",""Rekap UBM!$C$9"")"),1.0)</f>
        <v>1</v>
      </c>
      <c r="D14" s="106">
        <f t="shared" si="1"/>
        <v>100</v>
      </c>
      <c r="E14" s="99" t="str">
        <f>IFERROR(__xludf.DUMMYFUNCTION("IMPORTRANGE(""https://docs.google.com/spreadsheets/d/1ApPPV7RPuDI1EDOKjkoDXkV5Yd_NofeQTYTtAHUYGGw/edit#gid=1522333227"",""Rekap UBM!$E$9"")"),"")</f>
        <v/>
      </c>
      <c r="F14" s="107" t="str">
        <f>IFERROR(__xludf.DUMMYFUNCTION("IMPORTRANGE(""https://docs.google.com/spreadsheets/d/1ApPPV7RPuDI1EDOKjkoDXkV5Yd_NofeQTYTtAHUYGGw/edit#gid=1522333227"",""Rekap UBM!$F$9"")"),"")</f>
        <v/>
      </c>
      <c r="G14" s="106" t="str">
        <f t="shared" si="2"/>
        <v>#DIV/0!</v>
      </c>
      <c r="H14" s="107" t="str">
        <f>IFERROR(__xludf.DUMMYFUNCTION("IMPORTRANGE(""https://docs.google.com/spreadsheets/d/1ApPPV7RPuDI1EDOKjkoDXkV5Yd_NofeQTYTtAHUYGGw/edit#gid=1522333227"",""Rekap UBM!$H$9"")"),"")</f>
        <v/>
      </c>
      <c r="I14" s="107" t="str">
        <f>IFERROR(__xludf.DUMMYFUNCTION("IMPORTRANGE(""https://docs.google.com/spreadsheets/d/1ApPPV7RPuDI1EDOKjkoDXkV5Yd_NofeQTYTtAHUYGGw/edit#gid=1522333227"",""Rekap UBM!$I$9"")"),"")</f>
        <v/>
      </c>
      <c r="J14" s="106" t="str">
        <f t="shared" si="3"/>
        <v>#DIV/0!</v>
      </c>
    </row>
    <row r="15">
      <c r="A15" s="98" t="str">
        <f>'SPM-Uspro'!$C$18</f>
        <v>#REF!</v>
      </c>
      <c r="B15" s="99">
        <f>IFERROR(__xludf.DUMMYFUNCTION("IMPORTRANGE(""https://docs.google.com/spreadsheets/d/1iV_nqIfkAdyO_vl_QARxWbfnGcK2KlCCS94aVJ2QbTI/edit#gid=1522333227"",""Rekap UBM!$B$9"")"),1.0)</f>
        <v>1</v>
      </c>
      <c r="C15" s="99">
        <f>IFERROR(__xludf.DUMMYFUNCTION("IMPORTRANGE(""https://docs.google.com/spreadsheets/d/1iV_nqIfkAdyO_vl_QARxWbfnGcK2KlCCS94aVJ2QbTI/edit#gid=1522333227"",""Rekap UBM!$C$9"")"),1.0)</f>
        <v>1</v>
      </c>
      <c r="D15" s="106">
        <f t="shared" si="1"/>
        <v>100</v>
      </c>
      <c r="E15" s="99" t="str">
        <f>IFERROR(__xludf.DUMMYFUNCTION("IMPORTRANGE(""https://docs.google.com/spreadsheets/d/1iV_nqIfkAdyO_vl_QARxWbfnGcK2KlCCS94aVJ2QbTI/edit#gid=1522333227"",""Rekap UBM!$E$9"")"),"")</f>
        <v/>
      </c>
      <c r="F15" s="107" t="str">
        <f>IFERROR(__xludf.DUMMYFUNCTION("IMPORTRANGE(""https://docs.google.com/spreadsheets/d/1iV_nqIfkAdyO_vl_QARxWbfnGcK2KlCCS94aVJ2QbTI/edit#gid=1522333227"",""Rekap UBM!$F$9"")"),"")</f>
        <v/>
      </c>
      <c r="G15" s="106" t="str">
        <f t="shared" si="2"/>
        <v>#DIV/0!</v>
      </c>
      <c r="H15" s="107" t="str">
        <f>IFERROR(__xludf.DUMMYFUNCTION("IMPORTRANGE(""https://docs.google.com/spreadsheets/d/1iV_nqIfkAdyO_vl_QARxWbfnGcK2KlCCS94aVJ2QbTI/edit#gid=1522333227"",""Rekap UBM!$H$9"")"),"")</f>
        <v/>
      </c>
      <c r="I15" s="107" t="str">
        <f>IFERROR(__xludf.DUMMYFUNCTION("IMPORTRANGE(""https://docs.google.com/spreadsheets/d/1iV_nqIfkAdyO_vl_QARxWbfnGcK2KlCCS94aVJ2QbTI/edit#gid=1522333227"",""Rekap UBM!$I$9"")"),"")</f>
        <v/>
      </c>
      <c r="J15" s="106" t="str">
        <f t="shared" si="3"/>
        <v>#DIV/0!</v>
      </c>
    </row>
    <row r="16">
      <c r="A16" s="98" t="str">
        <f>'SPM-Uspro'!$C$19</f>
        <v>#REF!</v>
      </c>
      <c r="B16" s="99">
        <f>IFERROR(__xludf.DUMMYFUNCTION("IMPORTRANGE(""https://docs.google.com/spreadsheets/d/1zz70Lj6oBg1MOPSG6KJcsMeqBNtXMHYICRkg7kpt_d0/edit#gid=1892753874"",""Rekap UBM!$B$9"")"),1.0)</f>
        <v>1</v>
      </c>
      <c r="C16" s="99">
        <f>IFERROR(__xludf.DUMMYFUNCTION("IMPORTRANGE(""https://docs.google.com/spreadsheets/d/1zz70Lj6oBg1MOPSG6KJcsMeqBNtXMHYICRkg7kpt_d0/edit#gid=1892753874"",""Rekap UBM!$C$9"")"),1.0)</f>
        <v>1</v>
      </c>
      <c r="D16" s="106">
        <f t="shared" si="1"/>
        <v>100</v>
      </c>
      <c r="E16" s="99">
        <f>IFERROR(__xludf.DUMMYFUNCTION("IMPORTRANGE(""https://docs.google.com/spreadsheets/d/1zz70Lj6oBg1MOPSG6KJcsMeqBNtXMHYICRkg7kpt_d0/edit#gid=1892753874"",""Rekap UBM!$E$9"")"),3.0)</f>
        <v>3</v>
      </c>
      <c r="F16" s="107">
        <f>IFERROR(__xludf.DUMMYFUNCTION("IMPORTRANGE(""https://docs.google.com/spreadsheets/d/1zz70Lj6oBg1MOPSG6KJcsMeqBNtXMHYICRkg7kpt_d0/edit#gid=1892753874"",""Rekap UBM!$F$9"")"),3.0)</f>
        <v>3</v>
      </c>
      <c r="G16" s="106">
        <f t="shared" si="2"/>
        <v>100</v>
      </c>
      <c r="H16" s="107">
        <f>IFERROR(__xludf.DUMMYFUNCTION("IMPORTRANGE(""https://docs.google.com/spreadsheets/d/1zz70Lj6oBg1MOPSG6KJcsMeqBNtXMHYICRkg7kpt_d0/edit#gid=1892753874"",""Rekap UBM!$H$9"")"),3.0)</f>
        <v>3</v>
      </c>
      <c r="I16" s="107">
        <f>IFERROR(__xludf.DUMMYFUNCTION("IMPORTRANGE(""https://docs.google.com/spreadsheets/d/1zz70Lj6oBg1MOPSG6KJcsMeqBNtXMHYICRkg7kpt_d0/edit#gid=1892753874"",""Rekap UBM!$I$9"")"),3.0)</f>
        <v>3</v>
      </c>
      <c r="J16" s="106">
        <f t="shared" si="3"/>
        <v>100</v>
      </c>
    </row>
    <row r="17">
      <c r="A17" s="98" t="str">
        <f>'SPM-Uspro'!$C$20</f>
        <v>#REF!</v>
      </c>
      <c r="B17" s="99">
        <f>IFERROR(__xludf.DUMMYFUNCTION("IMPORTRANGE(""https://docs.google.com/spreadsheets/d/1773f1iHRnXhbrVjAHR7zUpu3neZdvtp1a2ikB9LJu8U/edit#gid=1522333227"",""Rekap UBM!$B$9"")"),1.0)</f>
        <v>1</v>
      </c>
      <c r="C17" s="99">
        <f>IFERROR(__xludf.DUMMYFUNCTION("IMPORTRANGE(""https://docs.google.com/spreadsheets/d/1773f1iHRnXhbrVjAHR7zUpu3neZdvtp1a2ikB9LJu8U/edit#gid=1522333227"",""Rekap UBM!$C$9"")"),1.0)</f>
        <v>1</v>
      </c>
      <c r="D17" s="106">
        <f t="shared" si="1"/>
        <v>100</v>
      </c>
      <c r="E17" s="99">
        <f>IFERROR(__xludf.DUMMYFUNCTION("IMPORTRANGE(""https://docs.google.com/spreadsheets/d/1773f1iHRnXhbrVjAHR7zUpu3neZdvtp1a2ikB9LJu8U/edit#gid=1522333227"",""Rekap UBM!$E$9"")"),13.0)</f>
        <v>13</v>
      </c>
      <c r="F17" s="107">
        <f>IFERROR(__xludf.DUMMYFUNCTION("IMPORTRANGE(""https://docs.google.com/spreadsheets/d/1773f1iHRnXhbrVjAHR7zUpu3neZdvtp1a2ikB9LJu8U/edit#gid=1522333227"",""Rekap UBM!$F$9"")"),13.0)</f>
        <v>13</v>
      </c>
      <c r="G17" s="106">
        <f t="shared" si="2"/>
        <v>100</v>
      </c>
      <c r="H17" s="107">
        <f>IFERROR(__xludf.DUMMYFUNCTION("IMPORTRANGE(""https://docs.google.com/spreadsheets/d/1773f1iHRnXhbrVjAHR7zUpu3neZdvtp1a2ikB9LJu8U/edit#gid=1522333227"",""Rekap UBM!$H$9"")"),1.0)</f>
        <v>1</v>
      </c>
      <c r="I17" s="107">
        <f>IFERROR(__xludf.DUMMYFUNCTION("IMPORTRANGE(""https://docs.google.com/spreadsheets/d/1773f1iHRnXhbrVjAHR7zUpu3neZdvtp1a2ikB9LJu8U/edit#gid=1522333227"",""Rekap UBM!$I$9"")"),1.0)</f>
        <v>1</v>
      </c>
      <c r="J17" s="106">
        <f t="shared" si="3"/>
        <v>100</v>
      </c>
    </row>
    <row r="18">
      <c r="A18" s="98" t="str">
        <f>'SPM-Uspro'!$C$21</f>
        <v>#REF!</v>
      </c>
      <c r="B18" s="99">
        <f>IFERROR(__xludf.DUMMYFUNCTION("IMPORTRANGE(""https://docs.google.com/spreadsheets/d/10iNzN1LqaStEosZKEbqcoOm3IdodNsG31q_nR0Y6WGo/edit#gid=1522333227"",""Rekap UBM!$B$9"")"),1.0)</f>
        <v>1</v>
      </c>
      <c r="C18" s="99">
        <f>IFERROR(__xludf.DUMMYFUNCTION("IMPORTRANGE(""https://docs.google.com/spreadsheets/d/10iNzN1LqaStEosZKEbqcoOm3IdodNsG31q_nR0Y6WGo/edit#gid=1522333227"",""Rekap UBM!$C$9"")"),1.0)</f>
        <v>1</v>
      </c>
      <c r="D18" s="106">
        <f t="shared" si="1"/>
        <v>100</v>
      </c>
      <c r="E18" s="99" t="str">
        <f>IFERROR(__xludf.DUMMYFUNCTION("IMPORTRANGE(""https://docs.google.com/spreadsheets/d/10iNzN1LqaStEosZKEbqcoOm3IdodNsG31q_nR0Y6WGo/edit#gid=1522333227"",""Rekap UBM!$E$9"")"),"")</f>
        <v/>
      </c>
      <c r="F18" s="107" t="str">
        <f>IFERROR(__xludf.DUMMYFUNCTION("IMPORTRANGE(""https://docs.google.com/spreadsheets/d/10iNzN1LqaStEosZKEbqcoOm3IdodNsG31q_nR0Y6WGo/edit#gid=1522333227"",""Rekap UBM!$F$9"")"),"")</f>
        <v/>
      </c>
      <c r="G18" s="106" t="str">
        <f t="shared" si="2"/>
        <v>#DIV/0!</v>
      </c>
      <c r="H18" s="107" t="str">
        <f>IFERROR(__xludf.DUMMYFUNCTION("IMPORTRANGE(""https://docs.google.com/spreadsheets/d/10iNzN1LqaStEosZKEbqcoOm3IdodNsG31q_nR0Y6WGo/edit#gid=1522333227"",""Rekap UBM!$H$9"")"),"")</f>
        <v/>
      </c>
      <c r="I18" s="107" t="str">
        <f>IFERROR(__xludf.DUMMYFUNCTION("IMPORTRANGE(""https://docs.google.com/spreadsheets/d/10iNzN1LqaStEosZKEbqcoOm3IdodNsG31q_nR0Y6WGo/edit#gid=1522333227"",""Rekap UBM!$I$9"")"),"")</f>
        <v/>
      </c>
      <c r="J18" s="106" t="str">
        <f t="shared" si="3"/>
        <v>#DIV/0!</v>
      </c>
    </row>
    <row r="19">
      <c r="A19" s="98" t="str">
        <f>'SPM-Uspro'!$C$22</f>
        <v>#REF!</v>
      </c>
      <c r="B19" s="99">
        <f>IFERROR(__xludf.DUMMYFUNCTION("IMPORTRANGE(""https://docs.google.com/spreadsheets/d/17PsIU8VcCQeO2M4DM42K9vv32GkafaaF1LxQevQ8tAQ/edit#gid=1892753874"",""Rekap UBM!$B$9"")"),1.0)</f>
        <v>1</v>
      </c>
      <c r="C19" s="99">
        <f>IFERROR(__xludf.DUMMYFUNCTION("IMPORTRANGE(""https://docs.google.com/spreadsheets/d/17PsIU8VcCQeO2M4DM42K9vv32GkafaaF1LxQevQ8tAQ/edit#gid=1892753874"",""Rekap UBM!$C$9"")"),0.0)</f>
        <v>0</v>
      </c>
      <c r="D19" s="106">
        <f t="shared" si="1"/>
        <v>0</v>
      </c>
      <c r="E19" s="99" t="str">
        <f>IFERROR(__xludf.DUMMYFUNCTION("IMPORTRANGE(""https://docs.google.com/spreadsheets/d/17PsIU8VcCQeO2M4DM42K9vv32GkafaaF1LxQevQ8tAQ/edit#gid=1892753874"",""Rekap UBM!$E$9"")"),"")</f>
        <v/>
      </c>
      <c r="F19" s="107" t="str">
        <f>IFERROR(__xludf.DUMMYFUNCTION("IMPORTRANGE(""https://docs.google.com/spreadsheets/d/17PsIU8VcCQeO2M4DM42K9vv32GkafaaF1LxQevQ8tAQ/edit#gid=1892753874"",""Rekap UBM!$F$9"")"),"")</f>
        <v/>
      </c>
      <c r="G19" s="106" t="str">
        <f t="shared" si="2"/>
        <v>#DIV/0!</v>
      </c>
      <c r="H19" s="107" t="str">
        <f>IFERROR(__xludf.DUMMYFUNCTION("IMPORTRANGE(""https://docs.google.com/spreadsheets/d/17PsIU8VcCQeO2M4DM42K9vv32GkafaaF1LxQevQ8tAQ/edit#gid=1892753874"",""Rekap UBM!$H$9"")"),"")</f>
        <v/>
      </c>
      <c r="I19" s="107" t="str">
        <f>IFERROR(__xludf.DUMMYFUNCTION("IMPORTRANGE(""https://docs.google.com/spreadsheets/d/17PsIU8VcCQeO2M4DM42K9vv32GkafaaF1LxQevQ8tAQ/edit#gid=1892753874"",""Rekap UBM!$I$9"")"),"")</f>
        <v/>
      </c>
      <c r="J19" s="106" t="str">
        <f t="shared" si="3"/>
        <v>#DIV/0!</v>
      </c>
    </row>
    <row r="20">
      <c r="A20" s="98" t="str">
        <f>'SPM-Uspro'!$C$23</f>
        <v>#REF!</v>
      </c>
      <c r="B20" s="99">
        <f>IFERROR(__xludf.DUMMYFUNCTION("IMPORTRANGE(""https://docs.google.com/spreadsheets/d/1d0Y9C6M4-a1TT0nIK2Gc4IXnbVyxoBB3v7o1biNGAwY/edit#gid=1892753874"",""Rekap UBM!$B$9"")"),1.0)</f>
        <v>1</v>
      </c>
      <c r="C20" s="99">
        <f>IFERROR(__xludf.DUMMYFUNCTION("IMPORTRANGE(""https://docs.google.com/spreadsheets/d/1d0Y9C6M4-a1TT0nIK2Gc4IXnbVyxoBB3v7o1biNGAwY/edit#gid=1892753874"",""Rekap UBM!$C$9"")"),1.0)</f>
        <v>1</v>
      </c>
      <c r="D20" s="106">
        <f t="shared" si="1"/>
        <v>100</v>
      </c>
      <c r="E20" s="99">
        <f>IFERROR(__xludf.DUMMYFUNCTION("IMPORTRANGE(""https://docs.google.com/spreadsheets/d/1d0Y9C6M4-a1TT0nIK2Gc4IXnbVyxoBB3v7o1biNGAwY/edit#gid=1892753874"",""Rekap UBM!$E$9"")"),6.0)</f>
        <v>6</v>
      </c>
      <c r="F20" s="107">
        <f>IFERROR(__xludf.DUMMYFUNCTION("IMPORTRANGE(""https://docs.google.com/spreadsheets/d/1d0Y9C6M4-a1TT0nIK2Gc4IXnbVyxoBB3v7o1biNGAwY/edit#gid=1892753874"",""Rekap UBM!$F$9"")"),0.0)</f>
        <v>0</v>
      </c>
      <c r="G20" s="106">
        <f t="shared" si="2"/>
        <v>0</v>
      </c>
      <c r="H20" s="107" t="str">
        <f>IFERROR(__xludf.DUMMYFUNCTION("IMPORTRANGE(""https://docs.google.com/spreadsheets/d/1d0Y9C6M4-a1TT0nIK2Gc4IXnbVyxoBB3v7o1biNGAwY/edit#gid=1892753874"",""Rekap UBM!$H$9"")"),"")</f>
        <v/>
      </c>
      <c r="I20" s="107">
        <f>IFERROR(__xludf.DUMMYFUNCTION("IMPORTRANGE(""https://docs.google.com/spreadsheets/d/1d0Y9C6M4-a1TT0nIK2Gc4IXnbVyxoBB3v7o1biNGAwY/edit#gid=1892753874"",""Rekap UBM!$I$9"")"),0.0)</f>
        <v>0</v>
      </c>
      <c r="J20" s="106" t="str">
        <f t="shared" si="3"/>
        <v>#DIV/0!</v>
      </c>
    </row>
    <row r="21" ht="15.75" customHeight="1">
      <c r="A21" s="98" t="str">
        <f>'SPM-Uspro'!$C$24</f>
        <v>#REF!</v>
      </c>
      <c r="B21" s="99">
        <f>IFERROR(__xludf.DUMMYFUNCTION("IMPORTRANGE(""https://docs.google.com/spreadsheets/d/1fXA1yQzUNddp7fjR2KF22o4rRJu9lP9Ja9Oi1mRbg_E/edit#gid=1892753874"",""Rekap UBM!$B$9"")"),1.0)</f>
        <v>1</v>
      </c>
      <c r="C21" s="99">
        <f>IFERROR(__xludf.DUMMYFUNCTION("IMPORTRANGE(""https://docs.google.com/spreadsheets/d/1fXA1yQzUNddp7fjR2KF22o4rRJu9lP9Ja9Oi1mRbg_E/edit#gid=1892753874"",""Rekap UBM!$C$9"")"),1.0)</f>
        <v>1</v>
      </c>
      <c r="D21" s="106">
        <f t="shared" si="1"/>
        <v>100</v>
      </c>
      <c r="E21" s="99">
        <f>IFERROR(__xludf.DUMMYFUNCTION("IMPORTRANGE(""https://docs.google.com/spreadsheets/d/1fXA1yQzUNddp7fjR2KF22o4rRJu9lP9Ja9Oi1mRbg_E/edit#gid=1892753874"",""Rekap UBM!$E$9"")"),1.0)</f>
        <v>1</v>
      </c>
      <c r="F21" s="107">
        <f>IFERROR(__xludf.DUMMYFUNCTION("IMPORTRANGE(""https://docs.google.com/spreadsheets/d/1fXA1yQzUNddp7fjR2KF22o4rRJu9lP9Ja9Oi1mRbg_E/edit#gid=1892753874"",""Rekap UBM!$F$9"")"),1.0)</f>
        <v>1</v>
      </c>
      <c r="G21" s="106">
        <f t="shared" si="2"/>
        <v>100</v>
      </c>
      <c r="H21" s="107" t="str">
        <f>IFERROR(__xludf.DUMMYFUNCTION("IMPORTRANGE(""https://docs.google.com/spreadsheets/d/1fXA1yQzUNddp7fjR2KF22o4rRJu9lP9Ja9Oi1mRbg_E/edit#gid=1892753874"",""Rekap UBM!$H$9"")"),"")</f>
        <v/>
      </c>
      <c r="I21" s="107" t="str">
        <f>IFERROR(__xludf.DUMMYFUNCTION("IMPORTRANGE(""https://docs.google.com/spreadsheets/d/1fXA1yQzUNddp7fjR2KF22o4rRJu9lP9Ja9Oi1mRbg_E/edit#gid=1892753874"",""Rekap UBM!$I$9"")"),"")</f>
        <v/>
      </c>
      <c r="J21" s="106" t="str">
        <f t="shared" si="3"/>
        <v>#DIV/0!</v>
      </c>
    </row>
    <row r="22" ht="15.75" customHeight="1">
      <c r="A22" s="98" t="str">
        <f>'SPM-Uspro'!$C$25</f>
        <v>#REF!</v>
      </c>
      <c r="B22" s="99">
        <f>IFERROR(__xludf.DUMMYFUNCTION("IMPORTRANGE(""https://docs.google.com/spreadsheets/d/155aL1qCqCleHwMP0Y8LT5akEbK27R0RIka-lAkeoeEo/edit#gid=1892753874"",""Rekap UBM!$B$9"")"),1.0)</f>
        <v>1</v>
      </c>
      <c r="C22" s="99">
        <f>IFERROR(__xludf.DUMMYFUNCTION("IMPORTRANGE(""https://docs.google.com/spreadsheets/d/155aL1qCqCleHwMP0Y8LT5akEbK27R0RIka-lAkeoeEo/edit#gid=1892753874"",""Rekap UBM!$C$9"")"),1.0)</f>
        <v>1</v>
      </c>
      <c r="D22" s="106">
        <f t="shared" si="1"/>
        <v>100</v>
      </c>
      <c r="E22" s="99">
        <f>IFERROR(__xludf.DUMMYFUNCTION("IMPORTRANGE(""https://docs.google.com/spreadsheets/d/155aL1qCqCleHwMP0Y8LT5akEbK27R0RIka-lAkeoeEo/edit#gid=1892753874"",""Rekap UBM!$E$9"")"),7.0)</f>
        <v>7</v>
      </c>
      <c r="F22" s="107">
        <f>IFERROR(__xludf.DUMMYFUNCTION("IMPORTRANGE(""https://docs.google.com/spreadsheets/d/155aL1qCqCleHwMP0Y8LT5akEbK27R0RIka-lAkeoeEo/edit#gid=1892753874"",""Rekap UBM!$F$9"")"),0.0)</f>
        <v>0</v>
      </c>
      <c r="G22" s="106">
        <f t="shared" si="2"/>
        <v>0</v>
      </c>
      <c r="H22" s="107">
        <f>IFERROR(__xludf.DUMMYFUNCTION("IMPORTRANGE(""https://docs.google.com/spreadsheets/d/155aL1qCqCleHwMP0Y8LT5akEbK27R0RIka-lAkeoeEo/edit#gid=1892753874"",""Rekap UBM!$H$9"")"),2.0)</f>
        <v>2</v>
      </c>
      <c r="I22" s="107">
        <f>IFERROR(__xludf.DUMMYFUNCTION("IMPORTRANGE(""https://docs.google.com/spreadsheets/d/155aL1qCqCleHwMP0Y8LT5akEbK27R0RIka-lAkeoeEo/edit#gid=1892753874"",""Rekap UBM!$I$9"")"),0.0)</f>
        <v>0</v>
      </c>
      <c r="J22" s="106">
        <f t="shared" si="3"/>
        <v>0</v>
      </c>
    </row>
    <row r="23" ht="15.75" customHeight="1">
      <c r="A23" s="98" t="str">
        <f>'SPM-Uspro'!$C$26</f>
        <v>#REF!</v>
      </c>
      <c r="B23" s="99">
        <f>IFERROR(__xludf.DUMMYFUNCTION("IMPORTRANGE(""https://docs.google.com/spreadsheets/d/13FRR1udp0c0o6Nmp_8YHiON78PXr-L4FqQQ028JcBYY/edit#gid=1522333227"",""Rekap UBM!$B$9"")"),1.0)</f>
        <v>1</v>
      </c>
      <c r="C23" s="99">
        <f>IFERROR(__xludf.DUMMYFUNCTION("IMPORTRANGE(""https://docs.google.com/spreadsheets/d/13FRR1udp0c0o6Nmp_8YHiON78PXr-L4FqQQ028JcBYY/edit#gid=1522333227"",""Rekap UBM!$C$9"")"),1.0)</f>
        <v>1</v>
      </c>
      <c r="D23" s="106">
        <f t="shared" si="1"/>
        <v>100</v>
      </c>
      <c r="E23" s="99">
        <f>IFERROR(__xludf.DUMMYFUNCTION("IMPORTRANGE(""https://docs.google.com/spreadsheets/d/13FRR1udp0c0o6Nmp_8YHiON78PXr-L4FqQQ028JcBYY/edit#gid=1522333227"",""Rekap UBM!$E$9"")"),0.0)</f>
        <v>0</v>
      </c>
      <c r="F23" s="107">
        <f>IFERROR(__xludf.DUMMYFUNCTION("IMPORTRANGE(""https://docs.google.com/spreadsheets/d/13FRR1udp0c0o6Nmp_8YHiON78PXr-L4FqQQ028JcBYY/edit#gid=1522333227"",""Rekap UBM!$F$9"")"),0.0)</f>
        <v>0</v>
      </c>
      <c r="G23" s="106" t="str">
        <f t="shared" si="2"/>
        <v>#DIV/0!</v>
      </c>
      <c r="H23" s="107">
        <f>IFERROR(__xludf.DUMMYFUNCTION("IMPORTRANGE(""https://docs.google.com/spreadsheets/d/13FRR1udp0c0o6Nmp_8YHiON78PXr-L4FqQQ028JcBYY/edit#gid=1522333227"",""Rekap UBM!$H$9"")"),0.0)</f>
        <v>0</v>
      </c>
      <c r="I23" s="107">
        <f>IFERROR(__xludf.DUMMYFUNCTION("IMPORTRANGE(""https://docs.google.com/spreadsheets/d/13FRR1udp0c0o6Nmp_8YHiON78PXr-L4FqQQ028JcBYY/edit#gid=1522333227"",""Rekap UBM!$I$9"")"),0.0)</f>
        <v>0</v>
      </c>
      <c r="J23" s="106" t="str">
        <f t="shared" si="3"/>
        <v>#DIV/0!</v>
      </c>
    </row>
    <row r="24" ht="15.75" customHeight="1">
      <c r="A24" s="98" t="str">
        <f>'SPM-Uspro'!$C$27</f>
        <v>#REF!</v>
      </c>
      <c r="B24" s="99">
        <f>IFERROR(__xludf.DUMMYFUNCTION("IMPORTRANGE(""https://docs.google.com/spreadsheets/d/1PVwe4VvYfj1Vj424c9kO9TcQogsBM6TpXMbFve9togc/edit#gid=1522333227"",""Rekap UBM!$B$9"")"),1.0)</f>
        <v>1</v>
      </c>
      <c r="C24" s="99">
        <f>IFERROR(__xludf.DUMMYFUNCTION("IMPORTRANGE(""https://docs.google.com/spreadsheets/d/1PVwe4VvYfj1Vj424c9kO9TcQogsBM6TpXMbFve9togc/edit#gid=1522333227"",""Rekap UBM!$C$9"")"),1.0)</f>
        <v>1</v>
      </c>
      <c r="D24" s="106">
        <f t="shared" si="1"/>
        <v>100</v>
      </c>
      <c r="E24" s="99">
        <f>IFERROR(__xludf.DUMMYFUNCTION("IMPORTRANGE(""https://docs.google.com/spreadsheets/d/1PVwe4VvYfj1Vj424c9kO9TcQogsBM6TpXMbFve9togc/edit#gid=1522333227"",""Rekap UBM!$E$9"")"),3.0)</f>
        <v>3</v>
      </c>
      <c r="F24" s="107">
        <f>IFERROR(__xludf.DUMMYFUNCTION("IMPORTRANGE(""https://docs.google.com/spreadsheets/d/1PVwe4VvYfj1Vj424c9kO9TcQogsBM6TpXMbFve9togc/edit#gid=1522333227"",""Rekap UBM!$F$9"")"),0.0)</f>
        <v>0</v>
      </c>
      <c r="G24" s="106">
        <f t="shared" si="2"/>
        <v>0</v>
      </c>
      <c r="H24" s="107">
        <f>IFERROR(__xludf.DUMMYFUNCTION("IMPORTRANGE(""https://docs.google.com/spreadsheets/d/1PVwe4VvYfj1Vj424c9kO9TcQogsBM6TpXMbFve9togc/edit#gid=1522333227"",""Rekap UBM!$H$9"")"),0.0)</f>
        <v>0</v>
      </c>
      <c r="I24" s="107">
        <f>IFERROR(__xludf.DUMMYFUNCTION("IMPORTRANGE(""https://docs.google.com/spreadsheets/d/1PVwe4VvYfj1Vj424c9kO9TcQogsBM6TpXMbFve9togc/edit#gid=1522333227"",""Rekap UBM!$I$9"")"),0.0)</f>
        <v>0</v>
      </c>
      <c r="J24" s="106" t="str">
        <f t="shared" si="3"/>
        <v>#DIV/0!</v>
      </c>
    </row>
    <row r="25" ht="15.75" customHeight="1">
      <c r="A25" s="98" t="str">
        <f>'SPM-Uspro'!$C$28</f>
        <v>#REF!</v>
      </c>
      <c r="B25" s="99">
        <f>IFERROR(__xludf.DUMMYFUNCTION("IMPORTRANGE(""https://docs.google.com/spreadsheets/d/15JUTNcWxWGx3Ha8qvwbxgnbDbT4v7N3vZYvqPZ68_Xg/edit#gid=1892753874"",""Rekap UBM!$B$9"")"),1.0)</f>
        <v>1</v>
      </c>
      <c r="C25" s="99">
        <f>IFERROR(__xludf.DUMMYFUNCTION("IMPORTRANGE(""https://docs.google.com/spreadsheets/d/15JUTNcWxWGx3Ha8qvwbxgnbDbT4v7N3vZYvqPZ68_Xg/edit#gid=1892753874"",""Rekap UBM!$C$9"")"),1.0)</f>
        <v>1</v>
      </c>
      <c r="D25" s="106">
        <f t="shared" si="1"/>
        <v>100</v>
      </c>
      <c r="E25" s="99" t="str">
        <f>IFERROR(__xludf.DUMMYFUNCTION("IMPORTRANGE(""https://docs.google.com/spreadsheets/d/15JUTNcWxWGx3Ha8qvwbxgnbDbT4v7N3vZYvqPZ68_Xg/edit#gid=1892753874"",""Rekap UBM!$E$9"")"),"")</f>
        <v/>
      </c>
      <c r="F25" s="107" t="str">
        <f>IFERROR(__xludf.DUMMYFUNCTION("IMPORTRANGE(""https://docs.google.com/spreadsheets/d/15JUTNcWxWGx3Ha8qvwbxgnbDbT4v7N3vZYvqPZ68_Xg/edit#gid=1892753874"",""Rekap UBM!$F$9"")"),"")</f>
        <v/>
      </c>
      <c r="G25" s="106" t="str">
        <f t="shared" si="2"/>
        <v>#DIV/0!</v>
      </c>
      <c r="H25" s="107" t="str">
        <f>IFERROR(__xludf.DUMMYFUNCTION("IMPORTRANGE(""https://docs.google.com/spreadsheets/d/15JUTNcWxWGx3Ha8qvwbxgnbDbT4v7N3vZYvqPZ68_Xg/edit#gid=1892753874"",""Rekap UBM!$H$9"")"),"")</f>
        <v/>
      </c>
      <c r="I25" s="107" t="str">
        <f>IFERROR(__xludf.DUMMYFUNCTION("IMPORTRANGE(""https://docs.google.com/spreadsheets/d/15JUTNcWxWGx3Ha8qvwbxgnbDbT4v7N3vZYvqPZ68_Xg/edit#gid=1892753874"",""Rekap UBM!$I$9"")"),"")</f>
        <v/>
      </c>
      <c r="J25" s="106" t="str">
        <f t="shared" si="3"/>
        <v>#DIV/0!</v>
      </c>
    </row>
    <row r="26" ht="15.75" customHeight="1"/>
    <row r="27" ht="15.75" customHeight="1">
      <c r="B27" s="108" t="s">
        <v>53</v>
      </c>
      <c r="C27" s="109"/>
      <c r="D27" s="110" t="s">
        <v>54</v>
      </c>
    </row>
    <row r="28" ht="15.75" customHeight="1">
      <c r="B28" s="109"/>
      <c r="C28" s="109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D7:D9"/>
    <mergeCell ref="E7:E9"/>
    <mergeCell ref="F7:F9"/>
    <mergeCell ref="G7:G9"/>
    <mergeCell ref="H7:H9"/>
    <mergeCell ref="I7:I9"/>
    <mergeCell ref="D27:I28"/>
    <mergeCell ref="A1:C3"/>
    <mergeCell ref="D1:J4"/>
    <mergeCell ref="A4:C4"/>
    <mergeCell ref="A6:J6"/>
    <mergeCell ref="A7:A9"/>
    <mergeCell ref="B7:B9"/>
    <mergeCell ref="C7:C9"/>
    <mergeCell ref="J7:J9"/>
  </mergeCells>
  <hyperlinks>
    <hyperlink display="              Kembali ke _x000a_              Pilihan Program" location="null!A1" ref="A1"/>
    <hyperlink r:id="rId1" ref="A4"/>
  </hyperlinks>
  <printOptions/>
  <pageMargins bottom="0.75" footer="0.0" header="0.0" left="0.7" right="0.7" top="0.75"/>
  <pageSetup orientation="landscape"/>
  <drawing r:id="rId2"/>
</worksheet>
</file>