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8A1539A-5AD1-FE41-85A1-75D5059B83F9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PM-Uspro" sheetId="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6" i="2"/>
  <c r="U27" i="2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R28" i="2"/>
  <c r="Q28" i="2"/>
  <c r="Q24" i="2"/>
  <c r="Q20" i="2"/>
  <c r="Q16" i="2"/>
  <c r="Q29" i="2"/>
  <c r="M25" i="2"/>
  <c r="M26" i="2"/>
  <c r="M27" i="2"/>
  <c r="M28" i="2"/>
  <c r="K28" i="2"/>
  <c r="K24" i="2"/>
  <c r="K20" i="2"/>
  <c r="K16" i="2"/>
  <c r="K29" i="2"/>
  <c r="J28" i="2"/>
  <c r="H28" i="2"/>
  <c r="G28" i="2"/>
  <c r="G24" i="2"/>
  <c r="G20" i="2"/>
  <c r="G16" i="2"/>
  <c r="G29" i="2"/>
  <c r="S27" i="2"/>
  <c r="N27" i="2"/>
  <c r="O27" i="2"/>
  <c r="L27" i="2"/>
  <c r="I27" i="2"/>
  <c r="S26" i="2"/>
  <c r="N26" i="2"/>
  <c r="O26" i="2"/>
  <c r="T26" i="2"/>
  <c r="L26" i="2"/>
  <c r="S25" i="2"/>
  <c r="N25" i="2"/>
  <c r="O25" i="2"/>
  <c r="T25" i="2"/>
  <c r="N28" i="2"/>
  <c r="N21" i="2"/>
  <c r="N22" i="2"/>
  <c r="N23" i="2"/>
  <c r="N24" i="2"/>
  <c r="N17" i="2"/>
  <c r="N18" i="2"/>
  <c r="N19" i="2"/>
  <c r="N20" i="2"/>
  <c r="N13" i="2"/>
  <c r="N14" i="2"/>
  <c r="N15" i="2"/>
  <c r="N16" i="2"/>
  <c r="N29" i="2"/>
  <c r="L25" i="2"/>
  <c r="L28" i="2"/>
  <c r="I28" i="2"/>
  <c r="R24" i="2"/>
  <c r="R20" i="2"/>
  <c r="R16" i="2"/>
  <c r="R29" i="2"/>
  <c r="J24" i="2"/>
  <c r="J20" i="2"/>
  <c r="J16" i="2"/>
  <c r="J29" i="2"/>
  <c r="H24" i="2"/>
  <c r="H20" i="2"/>
  <c r="H16" i="2"/>
  <c r="H29" i="2"/>
  <c r="S23" i="2"/>
  <c r="M23" i="2"/>
  <c r="O23" i="2"/>
  <c r="T23" i="2"/>
  <c r="L23" i="2"/>
  <c r="I23" i="2"/>
  <c r="S22" i="2"/>
  <c r="M22" i="2"/>
  <c r="O22" i="2"/>
  <c r="L22" i="2"/>
  <c r="L21" i="2"/>
  <c r="L24" i="2"/>
  <c r="I22" i="2"/>
  <c r="S21" i="2"/>
  <c r="S24" i="2"/>
  <c r="M21" i="2"/>
  <c r="M24" i="2"/>
  <c r="I21" i="2"/>
  <c r="I24" i="2"/>
  <c r="L17" i="2"/>
  <c r="L18" i="2"/>
  <c r="L19" i="2"/>
  <c r="L20" i="2"/>
  <c r="S19" i="2"/>
  <c r="M19" i="2"/>
  <c r="O19" i="2"/>
  <c r="I19" i="2"/>
  <c r="S18" i="2"/>
  <c r="M18" i="2"/>
  <c r="O18" i="2"/>
  <c r="I18" i="2"/>
  <c r="S17" i="2"/>
  <c r="S20" i="2"/>
  <c r="M17" i="2"/>
  <c r="O17" i="2"/>
  <c r="M20" i="2"/>
  <c r="I17" i="2"/>
  <c r="I20" i="2"/>
  <c r="S15" i="2"/>
  <c r="M15" i="2"/>
  <c r="O15" i="2"/>
  <c r="T15" i="2"/>
  <c r="L15" i="2"/>
  <c r="I15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S14" i="2"/>
  <c r="M14" i="2"/>
  <c r="O14" i="2"/>
  <c r="L14" i="2"/>
  <c r="I14" i="2"/>
  <c r="D14" i="2"/>
  <c r="D15" i="2"/>
  <c r="S13" i="2"/>
  <c r="S16" i="2"/>
  <c r="M13" i="2"/>
  <c r="M16" i="2"/>
  <c r="L13" i="2"/>
  <c r="L16" i="2"/>
  <c r="I13" i="2"/>
  <c r="I16" i="2"/>
  <c r="F13" i="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AC27" i="2"/>
  <c r="Y27" i="2"/>
  <c r="Z26" i="2"/>
  <c r="V26" i="2"/>
  <c r="Z25" i="2"/>
  <c r="V25" i="2"/>
  <c r="Z23" i="2"/>
  <c r="V23" i="2"/>
  <c r="AE22" i="2"/>
  <c r="AA22" i="2"/>
  <c r="W22" i="2"/>
  <c r="AF21" i="2"/>
  <c r="AB21" i="2"/>
  <c r="X21" i="2"/>
  <c r="AF19" i="2"/>
  <c r="AB19" i="2"/>
  <c r="X19" i="2"/>
  <c r="AC18" i="2"/>
  <c r="Y18" i="2"/>
  <c r="U18" i="2"/>
  <c r="Z17" i="2"/>
  <c r="V17" i="2"/>
  <c r="Z15" i="2"/>
  <c r="V15" i="2"/>
  <c r="AE14" i="2"/>
  <c r="AA14" i="2"/>
  <c r="W14" i="2"/>
  <c r="AF13" i="2"/>
  <c r="AB13" i="2"/>
  <c r="X13" i="2"/>
  <c r="X27" i="2"/>
  <c r="AC26" i="2"/>
  <c r="Y26" i="2"/>
  <c r="AC25" i="2"/>
  <c r="U25" i="2"/>
  <c r="U23" i="2"/>
  <c r="W21" i="2"/>
  <c r="AE19" i="2"/>
  <c r="AB18" i="2"/>
  <c r="Y17" i="2"/>
  <c r="Y15" i="2"/>
  <c r="V14" i="2"/>
  <c r="W13" i="2"/>
  <c r="AB27" i="2"/>
  <c r="U26" i="2"/>
  <c r="AC23" i="2"/>
  <c r="V22" i="2"/>
  <c r="AA21" i="2"/>
  <c r="W19" i="2"/>
  <c r="AE27" i="2"/>
  <c r="AA27" i="2"/>
  <c r="W27" i="2"/>
  <c r="AF26" i="2"/>
  <c r="AB26" i="2"/>
  <c r="X26" i="2"/>
  <c r="AF25" i="2"/>
  <c r="AB25" i="2"/>
  <c r="X25" i="2"/>
  <c r="AF23" i="2"/>
  <c r="AB23" i="2"/>
  <c r="X23" i="2"/>
  <c r="AC22" i="2"/>
  <c r="Y22" i="2"/>
  <c r="U22" i="2"/>
  <c r="Z21" i="2"/>
  <c r="V21" i="2"/>
  <c r="Z19" i="2"/>
  <c r="V19" i="2"/>
  <c r="AE18" i="2"/>
  <c r="AA18" i="2"/>
  <c r="W18" i="2"/>
  <c r="AF17" i="2"/>
  <c r="AB17" i="2"/>
  <c r="X17" i="2"/>
  <c r="AF15" i="2"/>
  <c r="AB15" i="2"/>
  <c r="X15" i="2"/>
  <c r="AC14" i="2"/>
  <c r="Y14" i="2"/>
  <c r="U14" i="2"/>
  <c r="Z13" i="2"/>
  <c r="V13" i="2"/>
  <c r="AB14" i="2"/>
  <c r="AC13" i="2"/>
  <c r="U13" i="2"/>
  <c r="Z22" i="2"/>
  <c r="AA19" i="2"/>
  <c r="AF18" i="2"/>
  <c r="AC17" i="2"/>
  <c r="AC15" i="2"/>
  <c r="Z14" i="2"/>
  <c r="AA13" i="2"/>
  <c r="Z27" i="2"/>
  <c r="V27" i="2"/>
  <c r="AE26" i="2"/>
  <c r="AA26" i="2"/>
  <c r="W26" i="2"/>
  <c r="AE25" i="2"/>
  <c r="AA25" i="2"/>
  <c r="W25" i="2"/>
  <c r="AE23" i="2"/>
  <c r="AA23" i="2"/>
  <c r="W23" i="2"/>
  <c r="AF22" i="2"/>
  <c r="AB22" i="2"/>
  <c r="X22" i="2"/>
  <c r="AC21" i="2"/>
  <c r="Y21" i="2"/>
  <c r="U21" i="2"/>
  <c r="AC19" i="2"/>
  <c r="Y19" i="2"/>
  <c r="U19" i="2"/>
  <c r="Z18" i="2"/>
  <c r="V18" i="2"/>
  <c r="AE17" i="2"/>
  <c r="AA17" i="2"/>
  <c r="W17" i="2"/>
  <c r="AE15" i="2"/>
  <c r="AA15" i="2"/>
  <c r="W15" i="2"/>
  <c r="AF14" i="2"/>
  <c r="X14" i="2"/>
  <c r="Y13" i="2"/>
  <c r="AF27" i="2"/>
  <c r="Y25" i="2"/>
  <c r="Y23" i="2"/>
  <c r="AE21" i="2"/>
  <c r="X18" i="2"/>
  <c r="U17" i="2"/>
  <c r="U15" i="2"/>
  <c r="AE13" i="2"/>
  <c r="AE16" i="2"/>
  <c r="AM13" i="2"/>
  <c r="AG13" i="2"/>
  <c r="U20" i="2"/>
  <c r="AE24" i="2"/>
  <c r="AM21" i="2"/>
  <c r="AG21" i="2"/>
  <c r="Y28" i="2"/>
  <c r="AN27" i="2"/>
  <c r="Y16" i="2"/>
  <c r="AN14" i="2"/>
  <c r="AI15" i="2"/>
  <c r="AM15" i="2"/>
  <c r="AN15" i="2"/>
  <c r="AO15" i="2"/>
  <c r="AG15" i="2"/>
  <c r="AH15" i="2"/>
  <c r="W20" i="2"/>
  <c r="AA20" i="2"/>
  <c r="AI17" i="2"/>
  <c r="AG17" i="2"/>
  <c r="AE20" i="2"/>
  <c r="AM17" i="2"/>
  <c r="U24" i="2"/>
  <c r="Y24" i="2"/>
  <c r="AC24" i="2"/>
  <c r="AJ22" i="2"/>
  <c r="AN22" i="2"/>
  <c r="AI23" i="2"/>
  <c r="AJ23" i="2"/>
  <c r="AK23" i="2"/>
  <c r="AG23" i="2"/>
  <c r="AH23" i="2"/>
  <c r="AM23" i="2"/>
  <c r="W28" i="2"/>
  <c r="AA28" i="2"/>
  <c r="AI25" i="2"/>
  <c r="AG25" i="2"/>
  <c r="AE28" i="2"/>
  <c r="AM25" i="2"/>
  <c r="AI26" i="2"/>
  <c r="AG26" i="2"/>
  <c r="AH26" i="2"/>
  <c r="AM26" i="2"/>
  <c r="AA16" i="2"/>
  <c r="AI13" i="2"/>
  <c r="AC20" i="2"/>
  <c r="AN18" i="2"/>
  <c r="AI19" i="2"/>
  <c r="U16" i="2"/>
  <c r="AC16" i="2"/>
  <c r="AD13" i="2"/>
  <c r="AJ14" i="2"/>
  <c r="V16" i="2"/>
  <c r="Z16" i="2"/>
  <c r="AJ15" i="2"/>
  <c r="X20" i="2"/>
  <c r="AJ17" i="2"/>
  <c r="AB20" i="2"/>
  <c r="AF20" i="2"/>
  <c r="AN17" i="2"/>
  <c r="AN19" i="2"/>
  <c r="AN20" i="2"/>
  <c r="AI18" i="2"/>
  <c r="AG18" i="2"/>
  <c r="AH18" i="2"/>
  <c r="AM18" i="2"/>
  <c r="V24" i="2"/>
  <c r="Z24" i="2"/>
  <c r="AN23" i="2"/>
  <c r="X28" i="2"/>
  <c r="AB28" i="2"/>
  <c r="AJ25" i="2"/>
  <c r="AF28" i="2"/>
  <c r="AN25" i="2"/>
  <c r="AN26" i="2"/>
  <c r="AN28" i="2"/>
  <c r="AJ26" i="2"/>
  <c r="AI27" i="2"/>
  <c r="AG27" i="2"/>
  <c r="AH27" i="2"/>
  <c r="AM27" i="2"/>
  <c r="AO27" i="2"/>
  <c r="AA24" i="2"/>
  <c r="AI21" i="2"/>
  <c r="AJ27" i="2"/>
  <c r="W16" i="2"/>
  <c r="Y20" i="2"/>
  <c r="AJ18" i="2"/>
  <c r="AM19" i="2"/>
  <c r="AO19" i="2"/>
  <c r="AG19" i="2"/>
  <c r="AH19" i="2"/>
  <c r="W24" i="2"/>
  <c r="U28" i="2"/>
  <c r="AC28" i="2"/>
  <c r="X16" i="2"/>
  <c r="AJ13" i="2"/>
  <c r="AJ16" i="2"/>
  <c r="AB16" i="2"/>
  <c r="AN13" i="2"/>
  <c r="AN16" i="2"/>
  <c r="AF16" i="2"/>
  <c r="AI14" i="2"/>
  <c r="AK14" i="2"/>
  <c r="AM14" i="2"/>
  <c r="AO14" i="2"/>
  <c r="AG14" i="2"/>
  <c r="AH14" i="2"/>
  <c r="V20" i="2"/>
  <c r="Z20" i="2"/>
  <c r="AJ19" i="2"/>
  <c r="X24" i="2"/>
  <c r="AJ21" i="2"/>
  <c r="AB24" i="2"/>
  <c r="AN21" i="2"/>
  <c r="AF24" i="2"/>
  <c r="AI22" i="2"/>
  <c r="AM22" i="2"/>
  <c r="AO22" i="2"/>
  <c r="AG22" i="2"/>
  <c r="AH22" i="2"/>
  <c r="V28" i="2"/>
  <c r="V29" i="2"/>
  <c r="Z28" i="2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I29" i="2"/>
  <c r="M29" i="2"/>
  <c r="T14" i="2"/>
  <c r="F15" i="2"/>
  <c r="AD15" i="2"/>
  <c r="D16" i="2"/>
  <c r="P15" i="2"/>
  <c r="T19" i="2"/>
  <c r="T22" i="2"/>
  <c r="L29" i="2"/>
  <c r="T27" i="2"/>
  <c r="T18" i="2"/>
  <c r="O13" i="2"/>
  <c r="O21" i="2"/>
  <c r="T21" i="2"/>
  <c r="O28" i="2"/>
  <c r="S28" i="2"/>
  <c r="F14" i="2"/>
  <c r="AD14" i="2"/>
  <c r="T17" i="2"/>
  <c r="O20" i="2"/>
  <c r="T13" i="2"/>
  <c r="S29" i="2"/>
  <c r="T28" i="2"/>
  <c r="D17" i="2"/>
  <c r="F16" i="2"/>
  <c r="AI24" i="2"/>
  <c r="AK21" i="2"/>
  <c r="AK27" i="2"/>
  <c r="AF29" i="2"/>
  <c r="AD16" i="2"/>
  <c r="AO25" i="2"/>
  <c r="AM28" i="2"/>
  <c r="AA29" i="2"/>
  <c r="AM20" i="2"/>
  <c r="AO17" i="2"/>
  <c r="AK15" i="2"/>
  <c r="AL15" i="2"/>
  <c r="Y29" i="2"/>
  <c r="P14" i="2"/>
  <c r="Z29" i="2"/>
  <c r="AK22" i="2"/>
  <c r="AJ24" i="2"/>
  <c r="AP14" i="2"/>
  <c r="AC29" i="2"/>
  <c r="AJ28" i="2"/>
  <c r="AO18" i="2"/>
  <c r="AO26" i="2"/>
  <c r="AE29" i="2"/>
  <c r="W29" i="2"/>
  <c r="AG24" i="2"/>
  <c r="AH24" i="2"/>
  <c r="AH21" i="2"/>
  <c r="AG16" i="2"/>
  <c r="AH16" i="2"/>
  <c r="AH13" i="2"/>
  <c r="O24" i="2"/>
  <c r="O16" i="2"/>
  <c r="O29" i="2"/>
  <c r="T20" i="2"/>
  <c r="AL14" i="2"/>
  <c r="AK19" i="2"/>
  <c r="AP19" i="2"/>
  <c r="AP27" i="2"/>
  <c r="AB29" i="2"/>
  <c r="AH25" i="2"/>
  <c r="AG28" i="2"/>
  <c r="AO23" i="2"/>
  <c r="AP23" i="2"/>
  <c r="AG20" i="2"/>
  <c r="AH20" i="2"/>
  <c r="AH17" i="2"/>
  <c r="AM24" i="2"/>
  <c r="AO21" i="2"/>
  <c r="AM16" i="2"/>
  <c r="AO13" i="2"/>
  <c r="P13" i="2"/>
  <c r="AN24" i="2"/>
  <c r="AN29" i="2"/>
  <c r="U29" i="2"/>
  <c r="X29" i="2"/>
  <c r="AK18" i="2"/>
  <c r="AJ20" i="2"/>
  <c r="AI16" i="2"/>
  <c r="AK13" i="2"/>
  <c r="AK26" i="2"/>
  <c r="AK25" i="2"/>
  <c r="AI28" i="2"/>
  <c r="AI20" i="2"/>
  <c r="AK17" i="2"/>
  <c r="AP15" i="2"/>
  <c r="AK20" i="2"/>
  <c r="AP18" i="2"/>
  <c r="AM29" i="2"/>
  <c r="AK16" i="2"/>
  <c r="AL16" i="2"/>
  <c r="AL13" i="2"/>
  <c r="AI29" i="2"/>
  <c r="P16" i="2"/>
  <c r="T16" i="2"/>
  <c r="AO24" i="2"/>
  <c r="AP21" i="2"/>
  <c r="AK28" i="2"/>
  <c r="AH28" i="2"/>
  <c r="AG29" i="2"/>
  <c r="AH29" i="2"/>
  <c r="AJ29" i="2"/>
  <c r="AP25" i="2"/>
  <c r="AO28" i="2"/>
  <c r="AK24" i="2"/>
  <c r="T29" i="2"/>
  <c r="AO16" i="2"/>
  <c r="AP13" i="2"/>
  <c r="AP26" i="2"/>
  <c r="F17" i="2"/>
  <c r="D18" i="2"/>
  <c r="T24" i="2"/>
  <c r="AO20" i="2"/>
  <c r="AP20" i="2"/>
  <c r="AP17" i="2"/>
  <c r="AP22" i="2"/>
  <c r="P17" i="2"/>
  <c r="AD17" i="2"/>
  <c r="AP28" i="2"/>
  <c r="AO29" i="2"/>
  <c r="AP16" i="2"/>
  <c r="AP24" i="2"/>
  <c r="F18" i="2"/>
  <c r="D19" i="2"/>
  <c r="AK29" i="2"/>
  <c r="AL17" i="2"/>
  <c r="AP29" i="2"/>
  <c r="F19" i="2"/>
  <c r="D20" i="2"/>
  <c r="AD18" i="2"/>
  <c r="P18" i="2"/>
  <c r="AL18" i="2"/>
  <c r="AD19" i="2"/>
  <c r="P19" i="2"/>
  <c r="AL19" i="2"/>
  <c r="D21" i="2"/>
  <c r="F20" i="2"/>
  <c r="F21" i="2"/>
  <c r="D22" i="2"/>
  <c r="AD20" i="2"/>
  <c r="P20" i="2"/>
  <c r="AL20" i="2"/>
  <c r="D23" i="2"/>
  <c r="F22" i="2"/>
  <c r="AD21" i="2"/>
  <c r="P21" i="2"/>
  <c r="AL21" i="2"/>
  <c r="F23" i="2"/>
  <c r="D24" i="2"/>
  <c r="AD22" i="2"/>
  <c r="P22" i="2"/>
  <c r="AL22" i="2"/>
  <c r="D25" i="2"/>
  <c r="F24" i="2"/>
  <c r="AD23" i="2"/>
  <c r="P23" i="2"/>
  <c r="AL23" i="2"/>
  <c r="F25" i="2"/>
  <c r="D26" i="2"/>
  <c r="AD24" i="2"/>
  <c r="P24" i="2"/>
  <c r="AL24" i="2"/>
  <c r="D27" i="2"/>
  <c r="F26" i="2"/>
  <c r="AD25" i="2"/>
  <c r="P25" i="2"/>
  <c r="AL25" i="2"/>
  <c r="P26" i="2"/>
  <c r="AD26" i="2"/>
  <c r="AL26" i="2"/>
  <c r="F27" i="2"/>
  <c r="D28" i="2"/>
  <c r="P27" i="2"/>
  <c r="AD27" i="2"/>
  <c r="AL27" i="2"/>
  <c r="F28" i="2"/>
  <c r="D29" i="2"/>
  <c r="F29" i="2"/>
  <c r="P28" i="2"/>
  <c r="AD28" i="2"/>
  <c r="AL28" i="2"/>
  <c r="P29" i="2"/>
  <c r="AD29" i="2"/>
  <c r="AL29" i="2"/>
</calcChain>
</file>

<file path=xl/sharedStrings.xml><?xml version="1.0" encoding="utf-8"?>
<sst xmlns="http://schemas.openxmlformats.org/spreadsheetml/2006/main" count="165" uniqueCount="67">
  <si>
    <t xml:space="preserve">                   Kembali ke Pilihan Program</t>
  </si>
  <si>
    <t>DATA SPM USPRO
PUSKESMAS MOJOLANGU
TAHUN 2024</t>
  </si>
  <si>
    <t xml:space="preserve">Pelayanan kesehatan usia produktif sesuai standar adalah: </t>
  </si>
  <si>
    <t>- Pengukuran tinggi badan, berat badan &amp; lingkar perut</t>
  </si>
  <si>
    <r>
      <rPr>
        <sz val="11"/>
        <color rgb="FF1A1A1A"/>
        <rFont val="Calibri"/>
      </rPr>
      <t xml:space="preserve">- Wanita usia 30-50 tahun yang sudah menikah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atau mempunyai riwayat berhubungan seksual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berisiko dilakukan pemeriksaan SADANIS dan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>cek IVA</t>
    </r>
  </si>
  <si>
    <t>- Pengukuran tekanan darah</t>
  </si>
  <si>
    <t>- Pemeriksaan gula darah</t>
  </si>
  <si>
    <t>- Anamnesa perilaku berisiko</t>
  </si>
  <si>
    <t>Kolom beresiko diisi jumlah orang yang obesitas yaitu IMT &gt; 27</t>
  </si>
  <si>
    <t>NO</t>
  </si>
  <si>
    <t>BULAN</t>
  </si>
  <si>
    <t>CAPAIAN PUSKESMAS YANKES USIA PRODUKTIF 15 - 59 TAHUN</t>
  </si>
  <si>
    <t>CAPAIAN FKTP WILAYAH PUSKESMAS</t>
  </si>
  <si>
    <t>TOTAL CAPAIAN</t>
  </si>
  <si>
    <t>SASARAN</t>
  </si>
  <si>
    <t>USIA 15 - 44 TAHUN</t>
  </si>
  <si>
    <t xml:space="preserve"> USIA 45 - 59 TAHUN</t>
  </si>
  <si>
    <t>TOTAL REALISASI CAPAIAN SPM PUSKESMAS</t>
  </si>
  <si>
    <t>TOTAL REALISASI BERESIKO (OBESITAS)</t>
  </si>
  <si>
    <t>TOTAL REALISASI CAPAIAN FKTP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</si>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</sst>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sz val="11"/>
      <color rgb="FF1A1A1A"/>
      <name val="Calibri"/>
    </font>
    <font>
      <sz val="14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u/>
      <sz val="12"/>
      <color rgb="FF1F3E78"/>
      <name val="&quot;Arial Narrow&quot;"/>
    </font>
    <font>
      <b/>
      <sz val="11"/>
      <color theme="1"/>
      <name val="Arial"/>
    </font>
    <font>
      <b/>
      <sz val="11"/>
      <color rgb="FF000000"/>
      <name val="&quot;Arial Narrow&quot;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sz val="11"/>
      <color rgb="FF000000"/>
      <name val="&quot;Arial Narrow&quot;"/>
    </font>
    <font>
      <sz val="11"/>
      <color rgb="FF000000"/>
      <name val="Inconsolata"/>
    </font>
    <font>
      <b/>
      <sz val="11"/>
      <color theme="1"/>
      <name val="Arial Narrow"/>
    </font>
    <font>
      <b/>
      <sz val="11"/>
      <color rgb="FF000000"/>
      <name val="Inconsolata"/>
    </font>
    <font>
      <sz val="12"/>
      <color rgb="FF000000"/>
      <name val="Arial Narrow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sz val="11"/>
      <color rgb="FFFFF2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FF99AC"/>
        <bgColor rgb="FFFF99AC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4" fillId="2" borderId="1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2" borderId="2" xfId="0" applyFont="1" applyFill="1" applyBorder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45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left"/>
    </xf>
    <xf numFmtId="3" fontId="21" fillId="0" borderId="34" xfId="0" applyNumberFormat="1" applyFont="1" applyBorder="1" applyAlignment="1"/>
    <xf numFmtId="3" fontId="21" fillId="0" borderId="50" xfId="0" applyNumberFormat="1" applyFont="1" applyBorder="1" applyAlignment="1"/>
    <xf numFmtId="3" fontId="20" fillId="0" borderId="33" xfId="0" applyNumberFormat="1" applyFont="1" applyBorder="1"/>
    <xf numFmtId="3" fontId="20" fillId="0" borderId="51" xfId="0" applyNumberFormat="1" applyFont="1" applyBorder="1" applyAlignment="1">
      <alignment horizontal="center"/>
    </xf>
    <xf numFmtId="3" fontId="20" fillId="0" borderId="34" xfId="0" applyNumberFormat="1" applyFont="1" applyBorder="1"/>
    <xf numFmtId="3" fontId="20" fillId="0" borderId="34" xfId="0" applyNumberFormat="1" applyFont="1" applyBorder="1" applyAlignment="1">
      <alignment horizontal="right"/>
    </xf>
    <xf numFmtId="3" fontId="20" fillId="0" borderId="34" xfId="0" applyNumberFormat="1" applyFont="1" applyBorder="1" applyAlignment="1">
      <alignment horizontal="center"/>
    </xf>
    <xf numFmtId="164" fontId="20" fillId="0" borderId="33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3" fontId="22" fillId="6" borderId="48" xfId="0" applyNumberFormat="1" applyFont="1" applyFill="1" applyBorder="1" applyAlignment="1">
      <alignment horizontal="center"/>
    </xf>
    <xf numFmtId="3" fontId="23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right"/>
    </xf>
    <xf numFmtId="3" fontId="22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center"/>
    </xf>
    <xf numFmtId="164" fontId="22" fillId="0" borderId="3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21" fillId="0" borderId="54" xfId="0" applyNumberFormat="1" applyFont="1" applyBorder="1"/>
    <xf numFmtId="3" fontId="21" fillId="0" borderId="51" xfId="0" applyNumberFormat="1" applyFont="1" applyBorder="1"/>
    <xf numFmtId="3" fontId="20" fillId="0" borderId="30" xfId="0" applyNumberFormat="1" applyFont="1" applyBorder="1"/>
    <xf numFmtId="3" fontId="20" fillId="0" borderId="54" xfId="0" applyNumberFormat="1" applyFont="1" applyBorder="1"/>
    <xf numFmtId="3" fontId="20" fillId="0" borderId="54" xfId="0" applyNumberFormat="1" applyFont="1" applyBorder="1" applyAlignment="1">
      <alignment horizontal="right"/>
    </xf>
    <xf numFmtId="3" fontId="20" fillId="0" borderId="54" xfId="0" applyNumberFormat="1" applyFont="1" applyBorder="1" applyAlignment="1">
      <alignment horizontal="center"/>
    </xf>
    <xf numFmtId="164" fontId="20" fillId="0" borderId="30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1" xfId="0" applyNumberFormat="1" applyFont="1" applyBorder="1"/>
    <xf numFmtId="3" fontId="20" fillId="6" borderId="51" xfId="0" applyNumberFormat="1" applyFont="1" applyFill="1" applyBorder="1" applyAlignment="1">
      <alignment horizontal="center"/>
    </xf>
    <xf numFmtId="3" fontId="23" fillId="6" borderId="51" xfId="0" applyNumberFormat="1" applyFont="1" applyFill="1" applyBorder="1" applyAlignment="1">
      <alignment horizontal="center"/>
    </xf>
    <xf numFmtId="0" fontId="20" fillId="7" borderId="55" xfId="0" applyFont="1" applyFill="1" applyBorder="1" applyAlignment="1">
      <alignment horizontal="center"/>
    </xf>
    <xf numFmtId="0" fontId="24" fillId="7" borderId="56" xfId="0" applyFont="1" applyFill="1" applyBorder="1" applyAlignment="1">
      <alignment horizontal="left"/>
    </xf>
    <xf numFmtId="3" fontId="24" fillId="7" borderId="57" xfId="0" applyNumberFormat="1" applyFont="1" applyFill="1" applyBorder="1"/>
    <xf numFmtId="3" fontId="24" fillId="7" borderId="51" xfId="0" applyNumberFormat="1" applyFont="1" applyFill="1" applyBorder="1"/>
    <xf numFmtId="3" fontId="14" fillId="7" borderId="58" xfId="0" applyNumberFormat="1" applyFont="1" applyFill="1" applyBorder="1"/>
    <xf numFmtId="3" fontId="14" fillId="7" borderId="51" xfId="0" applyNumberFormat="1" applyFont="1" applyFill="1" applyBorder="1" applyAlignment="1">
      <alignment horizontal="center"/>
    </xf>
    <xf numFmtId="3" fontId="25" fillId="7" borderId="51" xfId="0" applyNumberFormat="1" applyFont="1" applyFill="1" applyBorder="1" applyAlignment="1">
      <alignment horizontal="center"/>
    </xf>
    <xf numFmtId="3" fontId="14" fillId="7" borderId="57" xfId="0" applyNumberFormat="1" applyFont="1" applyFill="1" applyBorder="1"/>
    <xf numFmtId="3" fontId="14" fillId="7" borderId="57" xfId="0" applyNumberFormat="1" applyFont="1" applyFill="1" applyBorder="1" applyAlignment="1">
      <alignment horizontal="right"/>
    </xf>
    <xf numFmtId="3" fontId="14" fillId="7" borderId="57" xfId="0" applyNumberFormat="1" applyFont="1" applyFill="1" applyBorder="1" applyAlignment="1">
      <alignment horizontal="center"/>
    </xf>
    <xf numFmtId="164" fontId="14" fillId="7" borderId="59" xfId="0" applyNumberFormat="1" applyFont="1" applyFill="1" applyBorder="1" applyAlignment="1">
      <alignment horizontal="center"/>
    </xf>
    <xf numFmtId="3" fontId="14" fillId="7" borderId="55" xfId="0" applyNumberFormat="1" applyFont="1" applyFill="1" applyBorder="1" applyAlignment="1">
      <alignment horizontal="center"/>
    </xf>
    <xf numFmtId="3" fontId="14" fillId="7" borderId="60" xfId="0" applyNumberFormat="1" applyFont="1" applyFill="1" applyBorder="1" applyAlignment="1">
      <alignment horizontal="center"/>
    </xf>
    <xf numFmtId="164" fontId="14" fillId="7" borderId="61" xfId="0" applyNumberFormat="1" applyFont="1" applyFill="1" applyBorder="1" applyAlignment="1">
      <alignment horizontal="center"/>
    </xf>
    <xf numFmtId="3" fontId="18" fillId="7" borderId="48" xfId="0" applyNumberFormat="1" applyFont="1" applyFill="1" applyBorder="1" applyAlignment="1">
      <alignment horizontal="center"/>
    </xf>
    <xf numFmtId="3" fontId="25" fillId="7" borderId="34" xfId="0" applyNumberFormat="1" applyFont="1" applyFill="1" applyBorder="1" applyAlignment="1">
      <alignment horizontal="center"/>
    </xf>
    <xf numFmtId="3" fontId="18" fillId="7" borderId="34" xfId="0" applyNumberFormat="1" applyFont="1" applyFill="1" applyBorder="1" applyAlignment="1">
      <alignment horizontal="right"/>
    </xf>
    <xf numFmtId="3" fontId="18" fillId="7" borderId="34" xfId="0" applyNumberFormat="1" applyFont="1" applyFill="1" applyBorder="1" applyAlignment="1">
      <alignment horizontal="center"/>
    </xf>
    <xf numFmtId="164" fontId="18" fillId="7" borderId="36" xfId="0" applyNumberFormat="1" applyFont="1" applyFill="1" applyBorder="1" applyAlignment="1">
      <alignment horizontal="center"/>
    </xf>
    <xf numFmtId="0" fontId="26" fillId="0" borderId="48" xfId="0" applyFont="1" applyBorder="1" applyAlignment="1">
      <alignment horizontal="center"/>
    </xf>
    <xf numFmtId="3" fontId="20" fillId="6" borderId="48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right"/>
    </xf>
    <xf numFmtId="3" fontId="20" fillId="6" borderId="34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0" fontId="20" fillId="7" borderId="62" xfId="0" applyFont="1" applyFill="1" applyBorder="1" applyAlignment="1">
      <alignment horizontal="center"/>
    </xf>
    <xf numFmtId="0" fontId="24" fillId="7" borderId="63" xfId="0" applyFont="1" applyFill="1" applyBorder="1" applyAlignment="1">
      <alignment horizontal="left"/>
    </xf>
    <xf numFmtId="3" fontId="24" fillId="7" borderId="64" xfId="0" applyNumberFormat="1" applyFont="1" applyFill="1" applyBorder="1"/>
    <xf numFmtId="3" fontId="24" fillId="7" borderId="65" xfId="0" applyNumberFormat="1" applyFont="1" applyFill="1" applyBorder="1"/>
    <xf numFmtId="3" fontId="14" fillId="7" borderId="66" xfId="0" applyNumberFormat="1" applyFont="1" applyFill="1" applyBorder="1"/>
    <xf numFmtId="3" fontId="14" fillId="7" borderId="65" xfId="0" applyNumberFormat="1" applyFont="1" applyFill="1" applyBorder="1" applyAlignment="1">
      <alignment horizontal="center"/>
    </xf>
    <xf numFmtId="3" fontId="25" fillId="7" borderId="65" xfId="0" applyNumberFormat="1" applyFont="1" applyFill="1" applyBorder="1" applyAlignment="1">
      <alignment horizontal="center"/>
    </xf>
    <xf numFmtId="3" fontId="14" fillId="7" borderId="64" xfId="0" applyNumberFormat="1" applyFont="1" applyFill="1" applyBorder="1"/>
    <xf numFmtId="3" fontId="14" fillId="7" borderId="64" xfId="0" applyNumberFormat="1" applyFont="1" applyFill="1" applyBorder="1" applyAlignment="1">
      <alignment horizontal="right"/>
    </xf>
    <xf numFmtId="3" fontId="14" fillId="7" borderId="64" xfId="0" applyNumberFormat="1" applyFont="1" applyFill="1" applyBorder="1" applyAlignment="1">
      <alignment horizontal="center"/>
    </xf>
    <xf numFmtId="164" fontId="14" fillId="7" borderId="67" xfId="0" applyNumberFormat="1" applyFont="1" applyFill="1" applyBorder="1" applyAlignment="1">
      <alignment horizontal="center"/>
    </xf>
    <xf numFmtId="3" fontId="14" fillId="7" borderId="68" xfId="0" applyNumberFormat="1" applyFont="1" applyFill="1" applyBorder="1" applyAlignment="1">
      <alignment horizontal="center"/>
    </xf>
    <xf numFmtId="3" fontId="14" fillId="7" borderId="69" xfId="0" applyNumberFormat="1" applyFont="1" applyFill="1" applyBorder="1" applyAlignment="1">
      <alignment horizontal="center"/>
    </xf>
    <xf numFmtId="164" fontId="14" fillId="7" borderId="70" xfId="0" applyNumberFormat="1" applyFont="1" applyFill="1" applyBorder="1" applyAlignment="1">
      <alignment horizontal="center"/>
    </xf>
    <xf numFmtId="3" fontId="18" fillId="7" borderId="37" xfId="0" applyNumberFormat="1" applyFont="1" applyFill="1" applyBorder="1" applyAlignment="1">
      <alignment horizontal="center"/>
    </xf>
    <xf numFmtId="3" fontId="25" fillId="7" borderId="43" xfId="0" applyNumberFormat="1" applyFont="1" applyFill="1" applyBorder="1" applyAlignment="1">
      <alignment horizontal="center"/>
    </xf>
    <xf numFmtId="3" fontId="18" fillId="7" borderId="43" xfId="0" applyNumberFormat="1" applyFont="1" applyFill="1" applyBorder="1" applyAlignment="1">
      <alignment horizontal="right"/>
    </xf>
    <xf numFmtId="3" fontId="18" fillId="7" borderId="43" xfId="0" applyNumberFormat="1" applyFont="1" applyFill="1" applyBorder="1" applyAlignment="1">
      <alignment horizontal="center"/>
    </xf>
    <xf numFmtId="164" fontId="18" fillId="7" borderId="45" xfId="0" applyNumberFormat="1" applyFont="1" applyFill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4" fillId="0" borderId="72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8" fillId="0" borderId="37" xfId="0" applyNumberFormat="1" applyFont="1" applyBorder="1" applyAlignment="1">
      <alignment horizontal="center"/>
    </xf>
    <xf numFmtId="3" fontId="18" fillId="0" borderId="43" xfId="0" applyNumberFormat="1" applyFont="1" applyBorder="1" applyAlignment="1">
      <alignment horizontal="center"/>
    </xf>
    <xf numFmtId="164" fontId="18" fillId="0" borderId="45" xfId="0" applyNumberFormat="1" applyFont="1" applyBorder="1" applyAlignment="1">
      <alignment horizontal="center"/>
    </xf>
    <xf numFmtId="10" fontId="14" fillId="0" borderId="0" xfId="0" applyNumberFormat="1" applyFont="1" applyAlignment="1">
      <alignment horizontal="center"/>
    </xf>
    <xf numFmtId="3" fontId="21" fillId="0" borderId="51" xfId="0" applyNumberFormat="1" applyFont="1" applyBorder="1" applyAlignment="1">
      <alignment horizontal="right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51" xfId="0" applyFont="1" applyBorder="1" applyAlignment="1">
      <alignment horizontal="left"/>
    </xf>
    <xf numFmtId="164" fontId="8" fillId="0" borderId="34" xfId="0" applyNumberFormat="1" applyFont="1" applyBorder="1" applyAlignment="1">
      <alignment horizontal="center"/>
    </xf>
    <xf numFmtId="3" fontId="21" fillId="0" borderId="50" xfId="0" applyNumberFormat="1" applyFont="1" applyBorder="1" applyAlignment="1">
      <alignment horizontal="right"/>
    </xf>
    <xf numFmtId="0" fontId="7" fillId="0" borderId="0" xfId="0" applyFont="1"/>
    <xf numFmtId="0" fontId="14" fillId="0" borderId="19" xfId="0" applyFont="1" applyBorder="1" applyAlignment="1">
      <alignment horizontal="center"/>
    </xf>
    <xf numFmtId="0" fontId="2" fillId="0" borderId="21" xfId="0" applyFont="1" applyBorder="1"/>
    <xf numFmtId="0" fontId="18" fillId="4" borderId="33" xfId="0" applyFont="1" applyFill="1" applyBorder="1" applyAlignment="1">
      <alignment horizontal="center" wrapText="1"/>
    </xf>
    <xf numFmtId="0" fontId="2" fillId="0" borderId="33" xfId="0" applyFont="1" applyBorder="1"/>
    <xf numFmtId="0" fontId="2" fillId="0" borderId="36" xfId="0" applyFont="1" applyBorder="1"/>
    <xf numFmtId="0" fontId="14" fillId="5" borderId="25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8" xfId="0" applyFont="1" applyBorder="1"/>
    <xf numFmtId="0" fontId="14" fillId="5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7" fillId="3" borderId="24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2" fillId="0" borderId="27" xfId="0" applyFont="1" applyBorder="1"/>
    <xf numFmtId="0" fontId="14" fillId="3" borderId="2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18" fillId="4" borderId="32" xfId="0" applyFont="1" applyFill="1" applyBorder="1" applyAlignment="1">
      <alignment horizontal="center"/>
    </xf>
    <xf numFmtId="0" fontId="2" fillId="0" borderId="34" xfId="0" applyFont="1" applyBorder="1"/>
    <xf numFmtId="0" fontId="18" fillId="4" borderId="33" xfId="0" applyFont="1" applyFill="1" applyBorder="1" applyAlignment="1">
      <alignment horizontal="center"/>
    </xf>
    <xf numFmtId="0" fontId="2" fillId="0" borderId="35" xfId="0" applyFont="1" applyBorder="1"/>
    <xf numFmtId="0" fontId="15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9" fillId="4" borderId="32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0" xfId="0" applyFont="1" applyAlignment="1"/>
    <xf numFmtId="0" fontId="2" fillId="0" borderId="9" xfId="0" applyFont="1" applyBorder="1"/>
    <xf numFmtId="0" fontId="10" fillId="2" borderId="3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0" fontId="2" fillId="0" borderId="12" xfId="0" applyFont="1" applyBorder="1"/>
    <xf numFmtId="0" fontId="14" fillId="0" borderId="13" xfId="0" applyFont="1" applyBorder="1" applyAlignment="1">
      <alignment horizontal="center" vertical="center"/>
    </xf>
    <xf numFmtId="0" fontId="2" fillId="0" borderId="22" xfId="0" applyFont="1" applyBorder="1"/>
    <xf numFmtId="0" fontId="2" fillId="0" borderId="37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23" xfId="0" applyFont="1" applyBorder="1"/>
    <xf numFmtId="0" fontId="2" fillId="0" borderId="38" xfId="0" applyFont="1" applyBorder="1"/>
    <xf numFmtId="0" fontId="16" fillId="4" borderId="1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left" vertical="center"/>
    </xf>
    <xf numFmtId="0" fontId="4" fillId="0" borderId="73" xfId="0" applyFont="1" applyBorder="1" applyAlignment="1">
      <alignment horizontal="center" vertical="center" wrapText="1"/>
    </xf>
    <xf numFmtId="0" fontId="2" fillId="0" borderId="74" xfId="0" applyFont="1" applyBorder="1"/>
    <xf numFmtId="0" fontId="2" fillId="0" borderId="50" xfId="0" applyFont="1" applyBorder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/>
    <xf numFmtId="0" fontId="15" fillId="8" borderId="7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9" fillId="2" borderId="3" xfId="0" applyFont="1" applyFill="1" applyBorder="1" applyAlignment="1">
      <alignment horizontal="center" vertical="center"/>
    </xf>
    <xf numFmtId="0" fontId="2" fillId="0" borderId="76" xfId="0" applyFont="1" applyBorder="1"/>
    <xf numFmtId="0" fontId="15" fillId="9" borderId="75" xfId="0" applyFont="1" applyFill="1" applyBorder="1" applyAlignment="1">
      <alignment horizontal="center" vertical="center"/>
    </xf>
    <xf numFmtId="0" fontId="15" fillId="10" borderId="77" xfId="0" applyFont="1" applyFill="1" applyBorder="1" applyAlignment="1">
      <alignment horizontal="center" vertical="center" wrapText="1"/>
    </xf>
    <xf numFmtId="0" fontId="15" fillId="11" borderId="7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hyperlink" Target="https://docs.google.com/spreadsheets/d/1pY4arJd9Lo41E6tW65SKxpf2-ueaDmwITgkFw9ETzeg/edit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BC1000"/>
  <sheetViews>
    <sheetView showGridLines="0" tabSelected="1" workbookViewId="0">
      <pane xSplit="3" ySplit="9" topLeftCell="AF10" activePane="bottomRight" state="frozen"/>
      <selection pane="bottomLeft" activeCell="A10" sqref="A10"/>
      <selection pane="topRight" activeCell="D1" sqref="D1"/>
      <selection pane="bottomRight" activeCell="AR15" sqref="AR15"/>
    </sheetView>
  </sheetViews>
  <sheetFormatPr defaultColWidth="11.15234375" defaultRowHeight="15" customHeight="1" x14ac:dyDescent="0.15"/>
  <cols>
    <col min="1" max="1" width="1.390625" customWidth="1"/>
    <col min="2" max="2" width="4.9296875" customWidth="1"/>
    <col min="3" max="3" width="18.765625" customWidth="1"/>
    <col min="4" max="6" width="7.93359375" customWidth="1"/>
    <col min="7" max="12" width="5.68359375" customWidth="1"/>
    <col min="13" max="20" width="7.93359375" customWidth="1"/>
    <col min="21" max="26" width="5.68359375" customWidth="1"/>
    <col min="27" max="55" width="7.93359375" customWidth="1"/>
  </cols>
  <sheetData>
    <row r="1" spans="2:55" ht="15.75" customHeight="1" x14ac:dyDescent="0.2">
      <c r="B1" s="155" t="s">
        <v>0</v>
      </c>
      <c r="C1" s="156"/>
      <c r="D1" s="161" t="s">
        <v>1</v>
      </c>
      <c r="E1" s="162"/>
      <c r="F1" s="156"/>
      <c r="G1" s="4" t="s">
        <v>2</v>
      </c>
      <c r="H1" s="5"/>
      <c r="I1" s="5"/>
      <c r="J1" s="5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2:55" x14ac:dyDescent="0.2">
      <c r="B2" s="157"/>
      <c r="C2" s="158"/>
      <c r="D2" s="157"/>
      <c r="E2" s="163"/>
      <c r="F2" s="158"/>
      <c r="G2" s="7" t="s">
        <v>3</v>
      </c>
      <c r="H2" s="6"/>
      <c r="I2" s="6"/>
      <c r="J2" s="6"/>
      <c r="K2" s="8"/>
      <c r="L2" s="1"/>
      <c r="M2" s="9"/>
      <c r="N2" s="165" t="s">
        <v>4</v>
      </c>
      <c r="O2" s="162"/>
      <c r="P2" s="162"/>
      <c r="Q2" s="162"/>
      <c r="R2" s="162"/>
      <c r="S2" s="15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55" x14ac:dyDescent="0.2">
      <c r="B3" s="157"/>
      <c r="C3" s="158"/>
      <c r="D3" s="157"/>
      <c r="E3" s="163"/>
      <c r="F3" s="158"/>
      <c r="G3" s="7" t="s">
        <v>5</v>
      </c>
      <c r="H3" s="6"/>
      <c r="I3" s="6"/>
      <c r="J3" s="6"/>
      <c r="K3" s="8"/>
      <c r="L3" s="1"/>
      <c r="M3" s="9"/>
      <c r="N3" s="157"/>
      <c r="O3" s="163"/>
      <c r="P3" s="163"/>
      <c r="Q3" s="163"/>
      <c r="R3" s="163"/>
      <c r="S3" s="15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2:55" x14ac:dyDescent="0.2">
      <c r="B4" s="159"/>
      <c r="C4" s="160"/>
      <c r="D4" s="157"/>
      <c r="E4" s="163"/>
      <c r="F4" s="158"/>
      <c r="G4" s="7" t="s">
        <v>6</v>
      </c>
      <c r="H4" s="6"/>
      <c r="I4" s="6"/>
      <c r="J4" s="6"/>
      <c r="K4" s="8"/>
      <c r="L4" s="1"/>
      <c r="M4" s="9"/>
      <c r="N4" s="157"/>
      <c r="O4" s="163"/>
      <c r="P4" s="163"/>
      <c r="Q4" s="163"/>
      <c r="R4" s="163"/>
      <c r="S4" s="158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2:55" ht="18.75" x14ac:dyDescent="0.2">
      <c r="B5" s="10"/>
      <c r="C5" s="10"/>
      <c r="D5" s="157"/>
      <c r="E5" s="163"/>
      <c r="F5" s="158"/>
      <c r="G5" s="6" t="s">
        <v>7</v>
      </c>
      <c r="H5" s="6"/>
      <c r="I5" s="6"/>
      <c r="J5" s="6"/>
      <c r="K5" s="8"/>
      <c r="L5" s="1"/>
      <c r="M5" s="9"/>
      <c r="N5" s="159"/>
      <c r="O5" s="164"/>
      <c r="P5" s="164"/>
      <c r="Q5" s="164"/>
      <c r="R5" s="164"/>
      <c r="S5" s="16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2:55" ht="26.25" customHeight="1" x14ac:dyDescent="0.2">
      <c r="B6" s="166"/>
      <c r="C6" s="167"/>
      <c r="D6" s="159"/>
      <c r="E6" s="164"/>
      <c r="F6" s="160"/>
      <c r="G6" s="11" t="s">
        <v>8</v>
      </c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x14ac:dyDescent="0.2">
      <c r="B7" s="168" t="s">
        <v>9</v>
      </c>
      <c r="C7" s="171" t="s">
        <v>10</v>
      </c>
      <c r="D7" s="149" t="s">
        <v>11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1"/>
      <c r="U7" s="174" t="s">
        <v>12</v>
      </c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1"/>
      <c r="AI7" s="153" t="s">
        <v>13</v>
      </c>
      <c r="AJ7" s="154"/>
      <c r="AK7" s="154"/>
      <c r="AL7" s="154"/>
      <c r="AM7" s="154"/>
      <c r="AN7" s="154"/>
      <c r="AO7" s="154"/>
      <c r="AP7" s="129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2:55" ht="30" customHeight="1" x14ac:dyDescent="0.2">
      <c r="B8" s="169"/>
      <c r="C8" s="172"/>
      <c r="D8" s="138" t="s">
        <v>14</v>
      </c>
      <c r="E8" s="134"/>
      <c r="F8" s="137"/>
      <c r="G8" s="139" t="s">
        <v>15</v>
      </c>
      <c r="H8" s="134"/>
      <c r="I8" s="140"/>
      <c r="J8" s="139" t="s">
        <v>16</v>
      </c>
      <c r="K8" s="134"/>
      <c r="L8" s="140"/>
      <c r="M8" s="141" t="s">
        <v>17</v>
      </c>
      <c r="N8" s="134"/>
      <c r="O8" s="134"/>
      <c r="P8" s="135"/>
      <c r="Q8" s="175" t="s">
        <v>18</v>
      </c>
      <c r="R8" s="143"/>
      <c r="S8" s="143"/>
      <c r="T8" s="144"/>
      <c r="U8" s="145" t="s">
        <v>15</v>
      </c>
      <c r="V8" s="131"/>
      <c r="W8" s="146"/>
      <c r="X8" s="147" t="s">
        <v>16</v>
      </c>
      <c r="Y8" s="131"/>
      <c r="Z8" s="146"/>
      <c r="AA8" s="130" t="s">
        <v>19</v>
      </c>
      <c r="AB8" s="131"/>
      <c r="AC8" s="131"/>
      <c r="AD8" s="148"/>
      <c r="AE8" s="130" t="s">
        <v>18</v>
      </c>
      <c r="AF8" s="131"/>
      <c r="AG8" s="131"/>
      <c r="AH8" s="132"/>
      <c r="AI8" s="133" t="s">
        <v>20</v>
      </c>
      <c r="AJ8" s="134"/>
      <c r="AK8" s="134"/>
      <c r="AL8" s="135"/>
      <c r="AM8" s="136" t="s">
        <v>18</v>
      </c>
      <c r="AN8" s="134"/>
      <c r="AO8" s="134"/>
      <c r="AP8" s="137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2:55" x14ac:dyDescent="0.2">
      <c r="B9" s="170"/>
      <c r="C9" s="173"/>
      <c r="D9" s="15" t="s">
        <v>21</v>
      </c>
      <c r="E9" s="15" t="s">
        <v>22</v>
      </c>
      <c r="F9" s="16" t="s">
        <v>23</v>
      </c>
      <c r="G9" s="15" t="s">
        <v>21</v>
      </c>
      <c r="H9" s="15" t="s">
        <v>22</v>
      </c>
      <c r="I9" s="15" t="s">
        <v>23</v>
      </c>
      <c r="J9" s="15" t="s">
        <v>21</v>
      </c>
      <c r="K9" s="15" t="s">
        <v>22</v>
      </c>
      <c r="L9" s="15" t="s">
        <v>23</v>
      </c>
      <c r="M9" s="15" t="s">
        <v>21</v>
      </c>
      <c r="N9" s="15" t="s">
        <v>22</v>
      </c>
      <c r="O9" s="15" t="s">
        <v>23</v>
      </c>
      <c r="P9" s="17" t="s">
        <v>24</v>
      </c>
      <c r="Q9" s="15" t="s">
        <v>21</v>
      </c>
      <c r="R9" s="15" t="s">
        <v>22</v>
      </c>
      <c r="S9" s="15" t="s">
        <v>23</v>
      </c>
      <c r="T9" s="18" t="s">
        <v>24</v>
      </c>
      <c r="U9" s="19" t="s">
        <v>21</v>
      </c>
      <c r="V9" s="20" t="s">
        <v>22</v>
      </c>
      <c r="W9" s="20" t="s">
        <v>23</v>
      </c>
      <c r="X9" s="20" t="s">
        <v>21</v>
      </c>
      <c r="Y9" s="20" t="s">
        <v>22</v>
      </c>
      <c r="Z9" s="20" t="s">
        <v>23</v>
      </c>
      <c r="AA9" s="20" t="s">
        <v>21</v>
      </c>
      <c r="AB9" s="20" t="s">
        <v>22</v>
      </c>
      <c r="AC9" s="20" t="s">
        <v>23</v>
      </c>
      <c r="AD9" s="21" t="s">
        <v>24</v>
      </c>
      <c r="AE9" s="20" t="s">
        <v>21</v>
      </c>
      <c r="AF9" s="20" t="s">
        <v>22</v>
      </c>
      <c r="AG9" s="20" t="s">
        <v>23</v>
      </c>
      <c r="AH9" s="22" t="s">
        <v>24</v>
      </c>
      <c r="AI9" s="23" t="s">
        <v>21</v>
      </c>
      <c r="AJ9" s="23" t="s">
        <v>22</v>
      </c>
      <c r="AK9" s="23" t="s">
        <v>23</v>
      </c>
      <c r="AL9" s="24" t="s">
        <v>24</v>
      </c>
      <c r="AM9" s="23" t="s">
        <v>21</v>
      </c>
      <c r="AN9" s="23" t="s">
        <v>22</v>
      </c>
      <c r="AO9" s="23" t="s">
        <v>23</v>
      </c>
      <c r="AP9" s="25" t="s">
        <v>24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2:55" hidden="1" x14ac:dyDescent="0.2">
      <c r="B10" s="168" t="s">
        <v>9</v>
      </c>
      <c r="C10" s="171" t="s">
        <v>10</v>
      </c>
      <c r="D10" s="149" t="s">
        <v>11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1"/>
      <c r="U10" s="152" t="s">
        <v>12</v>
      </c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2"/>
      <c r="AI10" s="153" t="s">
        <v>13</v>
      </c>
      <c r="AJ10" s="154"/>
      <c r="AK10" s="154"/>
      <c r="AL10" s="154"/>
      <c r="AM10" s="154"/>
      <c r="AN10" s="154"/>
      <c r="AO10" s="154"/>
      <c r="AP10" s="129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2:55" ht="34.5" hidden="1" customHeight="1" x14ac:dyDescent="0.2">
      <c r="B11" s="169"/>
      <c r="C11" s="172"/>
      <c r="D11" s="138" t="s">
        <v>14</v>
      </c>
      <c r="E11" s="134"/>
      <c r="F11" s="137"/>
      <c r="G11" s="139" t="s">
        <v>15</v>
      </c>
      <c r="H11" s="134"/>
      <c r="I11" s="140"/>
      <c r="J11" s="139" t="s">
        <v>16</v>
      </c>
      <c r="K11" s="134"/>
      <c r="L11" s="140"/>
      <c r="M11" s="141" t="s">
        <v>17</v>
      </c>
      <c r="N11" s="134"/>
      <c r="O11" s="134"/>
      <c r="P11" s="135"/>
      <c r="Q11" s="142" t="s">
        <v>18</v>
      </c>
      <c r="R11" s="143"/>
      <c r="S11" s="143"/>
      <c r="T11" s="144"/>
      <c r="U11" s="145" t="s">
        <v>15</v>
      </c>
      <c r="V11" s="131"/>
      <c r="W11" s="146"/>
      <c r="X11" s="147" t="s">
        <v>16</v>
      </c>
      <c r="Y11" s="131"/>
      <c r="Z11" s="146"/>
      <c r="AA11" s="130" t="s">
        <v>19</v>
      </c>
      <c r="AB11" s="131"/>
      <c r="AC11" s="131"/>
      <c r="AD11" s="148"/>
      <c r="AE11" s="130" t="s">
        <v>18</v>
      </c>
      <c r="AF11" s="131"/>
      <c r="AG11" s="131"/>
      <c r="AH11" s="132"/>
      <c r="AI11" s="133" t="s">
        <v>20</v>
      </c>
      <c r="AJ11" s="134"/>
      <c r="AK11" s="134"/>
      <c r="AL11" s="135"/>
      <c r="AM11" s="136" t="s">
        <v>18</v>
      </c>
      <c r="AN11" s="134"/>
      <c r="AO11" s="134"/>
      <c r="AP11" s="137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</row>
    <row r="12" spans="2:55" hidden="1" x14ac:dyDescent="0.2">
      <c r="B12" s="170"/>
      <c r="C12" s="173"/>
      <c r="D12" s="15" t="s">
        <v>21</v>
      </c>
      <c r="E12" s="15" t="s">
        <v>22</v>
      </c>
      <c r="F12" s="16" t="s">
        <v>23</v>
      </c>
      <c r="G12" s="26" t="s">
        <v>21</v>
      </c>
      <c r="H12" s="26" t="s">
        <v>22</v>
      </c>
      <c r="I12" s="15" t="s">
        <v>23</v>
      </c>
      <c r="J12" s="26" t="s">
        <v>21</v>
      </c>
      <c r="K12" s="26" t="s">
        <v>22</v>
      </c>
      <c r="L12" s="15" t="s">
        <v>23</v>
      </c>
      <c r="M12" s="15" t="s">
        <v>21</v>
      </c>
      <c r="N12" s="15" t="s">
        <v>22</v>
      </c>
      <c r="O12" s="15" t="s">
        <v>23</v>
      </c>
      <c r="P12" s="17" t="s">
        <v>24</v>
      </c>
      <c r="Q12" s="15" t="s">
        <v>21</v>
      </c>
      <c r="R12" s="15" t="s">
        <v>22</v>
      </c>
      <c r="S12" s="15" t="s">
        <v>23</v>
      </c>
      <c r="T12" s="18" t="s">
        <v>24</v>
      </c>
      <c r="U12" s="19" t="s">
        <v>21</v>
      </c>
      <c r="V12" s="20" t="s">
        <v>22</v>
      </c>
      <c r="W12" s="20" t="s">
        <v>23</v>
      </c>
      <c r="X12" s="20" t="s">
        <v>21</v>
      </c>
      <c r="Y12" s="20" t="s">
        <v>22</v>
      </c>
      <c r="Z12" s="20" t="s">
        <v>23</v>
      </c>
      <c r="AA12" s="20" t="s">
        <v>21</v>
      </c>
      <c r="AB12" s="20" t="s">
        <v>22</v>
      </c>
      <c r="AC12" s="20" t="s">
        <v>23</v>
      </c>
      <c r="AD12" s="21" t="s">
        <v>24</v>
      </c>
      <c r="AE12" s="20" t="s">
        <v>21</v>
      </c>
      <c r="AF12" s="20" t="s">
        <v>22</v>
      </c>
      <c r="AG12" s="20" t="s">
        <v>23</v>
      </c>
      <c r="AH12" s="22" t="s">
        <v>24</v>
      </c>
      <c r="AI12" s="23" t="s">
        <v>21</v>
      </c>
      <c r="AJ12" s="23" t="s">
        <v>22</v>
      </c>
      <c r="AK12" s="23" t="s">
        <v>23</v>
      </c>
      <c r="AL12" s="24" t="s">
        <v>24</v>
      </c>
      <c r="AM12" s="23" t="s">
        <v>21</v>
      </c>
      <c r="AN12" s="23" t="s">
        <v>22</v>
      </c>
      <c r="AO12" s="23" t="s">
        <v>23</v>
      </c>
      <c r="AP12" s="25" t="s">
        <v>24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</row>
    <row r="13" spans="2:55" x14ac:dyDescent="0.2">
      <c r="B13" s="27">
        <v>1</v>
      </c>
      <c r="C13" s="28" t="s">
        <v>25</v>
      </c>
      <c r="D13" s="29">
        <v>18760</v>
      </c>
      <c r="E13" s="30">
        <v>18558</v>
      </c>
      <c r="F13" s="31">
        <f t="shared" ref="F13:F28" si="0">D13+E13</f>
        <v>37318</v>
      </c>
      <c r="G13" s="32">
        <v>307</v>
      </c>
      <c r="H13" s="32">
        <v>618</v>
      </c>
      <c r="I13" s="33">
        <f t="shared" ref="I13:I15" si="1">G13+H13</f>
        <v>925</v>
      </c>
      <c r="J13" s="32">
        <v>200</v>
      </c>
      <c r="K13" s="32">
        <v>658</v>
      </c>
      <c r="L13" s="34">
        <f t="shared" ref="L13:L15" si="2">J13+K13</f>
        <v>858</v>
      </c>
      <c r="M13" s="35">
        <f t="shared" ref="M13:N13" si="3">SUM(G13,J13)</f>
        <v>507</v>
      </c>
      <c r="N13" s="35">
        <f t="shared" si="3"/>
        <v>1276</v>
      </c>
      <c r="O13" s="33">
        <f t="shared" ref="O13:O15" si="4">M13+N13</f>
        <v>1783</v>
      </c>
      <c r="P13" s="36">
        <f t="shared" ref="P13:P29" si="5">O13/F13*100</f>
        <v>4.7778551905246793</v>
      </c>
      <c r="Q13" s="37">
        <v>251</v>
      </c>
      <c r="R13" s="38">
        <v>570</v>
      </c>
      <c r="S13" s="39">
        <f t="shared" ref="S13:S15" si="6">Q13+R13</f>
        <v>821</v>
      </c>
      <c r="T13" s="40">
        <f t="shared" ref="T13:T29" si="7">S13/O13*100</f>
        <v>46.04598990465508</v>
      </c>
      <c r="U13" s="41">
        <f ca="1">IFERROR(__xludf.DUMMYFUNCTION("IMPORTRANGE(""https://docs.google.com/spreadsheets/d/1pY4arJd9Lo41E6tW65SKxpf2-ueaDmwITgkFw9ETzeg/edit#gid=630732817"",""CAPAIAN FKTP PER BULAN PER PUSK!C22:K22"")"),67)</f>
        <v>67</v>
      </c>
      <c r="V13" s="42">
        <f ca="1">IFERROR(__xludf.DUMMYFUNCTION("""COMPUTED_VALUE"""),93)</f>
        <v>93</v>
      </c>
      <c r="W13" s="43">
        <f ca="1">IFERROR(__xludf.DUMMYFUNCTION("""COMPUTED_VALUE"""),160)</f>
        <v>160</v>
      </c>
      <c r="X13" s="44">
        <f ca="1">IFERROR(__xludf.DUMMYFUNCTION("""COMPUTED_VALUE"""),45)</f>
        <v>45</v>
      </c>
      <c r="Y13" s="44">
        <f ca="1">IFERROR(__xludf.DUMMYFUNCTION("""COMPUTED_VALUE"""),59)</f>
        <v>59</v>
      </c>
      <c r="Z13" s="43">
        <f ca="1">IFERROR(__xludf.DUMMYFUNCTION("""COMPUTED_VALUE"""),104)</f>
        <v>104</v>
      </c>
      <c r="AA13" s="45">
        <f ca="1">IFERROR(__xludf.DUMMYFUNCTION("""COMPUTED_VALUE"""),112)</f>
        <v>112</v>
      </c>
      <c r="AB13" s="45">
        <f ca="1">IFERROR(__xludf.DUMMYFUNCTION("""COMPUTED_VALUE"""),152)</f>
        <v>152</v>
      </c>
      <c r="AC13" s="43">
        <f ca="1">IFERROR(__xludf.DUMMYFUNCTION("""COMPUTED_VALUE"""),264)</f>
        <v>264</v>
      </c>
      <c r="AD13" s="46">
        <f t="shared" ref="AD13:AD29" ca="1" si="8">AC13/F13*100</f>
        <v>0.70743341015059757</v>
      </c>
      <c r="AE13" s="44">
        <f ca="1">IFERROR(__xludf.DUMMYFUNCTION("IMPORTRANGE(""https://docs.google.com/spreadsheets/d/1pY4arJd9Lo41E6tW65SKxpf2-ueaDmwITgkFw9ETzeg/edit#gid=630732817"",""CAPAIAN FKTP PER BULAN PER PUSK!L22:M22"")"),13)</f>
        <v>13</v>
      </c>
      <c r="AF13" s="45">
        <f ca="1">IFERROR(__xludf.DUMMYFUNCTION("""COMPUTED_VALUE"""),17)</f>
        <v>17</v>
      </c>
      <c r="AG13" s="45">
        <f t="shared" ref="AG13:AG15" ca="1" si="9">AE13+AF13</f>
        <v>30</v>
      </c>
      <c r="AH13" s="46">
        <f t="shared" ref="AH13:AH29" ca="1" si="10">AG13/AC13*100</f>
        <v>11.363636363636363</v>
      </c>
      <c r="AI13" s="35">
        <f t="shared" ref="AI13:AJ13" ca="1" si="11">SUM(AA13,M13)</f>
        <v>619</v>
      </c>
      <c r="AJ13" s="35">
        <f t="shared" ca="1" si="11"/>
        <v>1428</v>
      </c>
      <c r="AK13" s="33">
        <f t="shared" ref="AK13:AK15" ca="1" si="12">AI13+AJ13</f>
        <v>2047</v>
      </c>
      <c r="AL13" s="36">
        <f t="shared" ref="AL13:AL29" ca="1" si="13">AK13/F13*100</f>
        <v>5.4852886006752772</v>
      </c>
      <c r="AM13" s="47">
        <f t="shared" ref="AM13:AN13" ca="1" si="14">SUM(AE13,Q13)</f>
        <v>264</v>
      </c>
      <c r="AN13" s="39">
        <f t="shared" ca="1" si="14"/>
        <v>587</v>
      </c>
      <c r="AO13" s="39">
        <f t="shared" ref="AO13:AO15" ca="1" si="15">AM13+AN13</f>
        <v>851</v>
      </c>
      <c r="AP13" s="40">
        <f t="shared" ref="AP13:AP29" ca="1" si="16">AO13/AK13*100</f>
        <v>41.573033707865171</v>
      </c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</row>
    <row r="14" spans="2:55" x14ac:dyDescent="0.2">
      <c r="B14" s="27">
        <v>2</v>
      </c>
      <c r="C14" s="28" t="s">
        <v>26</v>
      </c>
      <c r="D14" s="49">
        <f t="shared" ref="D14:E14" si="17">D13</f>
        <v>18760</v>
      </c>
      <c r="E14" s="50">
        <f t="shared" si="17"/>
        <v>18558</v>
      </c>
      <c r="F14" s="51">
        <f t="shared" si="0"/>
        <v>37318</v>
      </c>
      <c r="G14" s="32">
        <v>312</v>
      </c>
      <c r="H14" s="32">
        <v>711</v>
      </c>
      <c r="I14" s="52">
        <f t="shared" si="1"/>
        <v>1023</v>
      </c>
      <c r="J14" s="32">
        <v>262</v>
      </c>
      <c r="K14" s="32">
        <v>756</v>
      </c>
      <c r="L14" s="53">
        <f t="shared" si="2"/>
        <v>1018</v>
      </c>
      <c r="M14" s="54">
        <f t="shared" ref="M14:N14" si="18">SUM(G14,J14)</f>
        <v>574</v>
      </c>
      <c r="N14" s="54">
        <f t="shared" si="18"/>
        <v>1467</v>
      </c>
      <c r="O14" s="52">
        <f t="shared" si="4"/>
        <v>2041</v>
      </c>
      <c r="P14" s="55">
        <f t="shared" si="5"/>
        <v>5.4692105686264005</v>
      </c>
      <c r="Q14" s="56">
        <v>230</v>
      </c>
      <c r="R14" s="57">
        <v>539</v>
      </c>
      <c r="S14" s="35">
        <f t="shared" si="6"/>
        <v>769</v>
      </c>
      <c r="T14" s="58">
        <f t="shared" si="7"/>
        <v>37.677609015188636</v>
      </c>
      <c r="U14" s="41">
        <f ca="1">IFERROR(__xludf.DUMMYFUNCTION("IMPORTRANGE(""https://docs.google.com/spreadsheets/d/1pY4arJd9Lo41E6tW65SKxpf2-ueaDmwITgkFw9ETzeg/edit#gid=630732817"",""CAPAIAN FKTP PER BULAN PER PUSK!AB22:AJ22"")"),56)</f>
        <v>56</v>
      </c>
      <c r="V14" s="42">
        <f ca="1">IFERROR(__xludf.DUMMYFUNCTION("""COMPUTED_VALUE"""),98)</f>
        <v>98</v>
      </c>
      <c r="W14" s="43">
        <f ca="1">IFERROR(__xludf.DUMMYFUNCTION("""COMPUTED_VALUE"""),154)</f>
        <v>154</v>
      </c>
      <c r="X14" s="44">
        <f ca="1">IFERROR(__xludf.DUMMYFUNCTION("""COMPUTED_VALUE"""),43)</f>
        <v>43</v>
      </c>
      <c r="Y14" s="44">
        <f ca="1">IFERROR(__xludf.DUMMYFUNCTION("""COMPUTED_VALUE"""),43)</f>
        <v>43</v>
      </c>
      <c r="Z14" s="43">
        <f ca="1">IFERROR(__xludf.DUMMYFUNCTION("""COMPUTED_VALUE"""),86)</f>
        <v>86</v>
      </c>
      <c r="AA14" s="45">
        <f ca="1">IFERROR(__xludf.DUMMYFUNCTION("""COMPUTED_VALUE"""),99)</f>
        <v>99</v>
      </c>
      <c r="AB14" s="45">
        <f ca="1">IFERROR(__xludf.DUMMYFUNCTION("""COMPUTED_VALUE"""),141)</f>
        <v>141</v>
      </c>
      <c r="AC14" s="43">
        <f ca="1">IFERROR(__xludf.DUMMYFUNCTION("""COMPUTED_VALUE"""),240)</f>
        <v>240</v>
      </c>
      <c r="AD14" s="46">
        <f t="shared" ca="1" si="8"/>
        <v>0.64312128195508866</v>
      </c>
      <c r="AE14" s="45">
        <f ca="1">IFERROR(__xludf.DUMMYFUNCTION("IMPORTRANGE(""https://docs.google.com/spreadsheets/d/1pY4arJd9Lo41E6tW65SKxpf2-ueaDmwITgkFw9ETzeg/edit#gid=630732817"",""CAPAIAN FKTP PER BULAN PER PUSK!AK22:AL22"")"),5)</f>
        <v>5</v>
      </c>
      <c r="AF14" s="45">
        <f ca="1">IFERROR(__xludf.DUMMYFUNCTION("""COMPUTED_VALUE"""),6)</f>
        <v>6</v>
      </c>
      <c r="AG14" s="45">
        <f t="shared" ca="1" si="9"/>
        <v>11</v>
      </c>
      <c r="AH14" s="46">
        <f t="shared" ca="1" si="10"/>
        <v>4.583333333333333</v>
      </c>
      <c r="AI14" s="35">
        <f t="shared" ref="AI14:AJ14" ca="1" si="19">SUM(AA14,M14)</f>
        <v>673</v>
      </c>
      <c r="AJ14" s="35">
        <f t="shared" ca="1" si="19"/>
        <v>1608</v>
      </c>
      <c r="AK14" s="52">
        <f t="shared" ca="1" si="12"/>
        <v>2281</v>
      </c>
      <c r="AL14" s="55">
        <f t="shared" ca="1" si="13"/>
        <v>6.112331850581489</v>
      </c>
      <c r="AM14" s="59">
        <f t="shared" ref="AM14:AN14" ca="1" si="20">SUM(AE14,Q14)</f>
        <v>235</v>
      </c>
      <c r="AN14" s="35">
        <f t="shared" ca="1" si="20"/>
        <v>545</v>
      </c>
      <c r="AO14" s="35">
        <f t="shared" ca="1" si="15"/>
        <v>780</v>
      </c>
      <c r="AP14" s="58">
        <f t="shared" ca="1" si="16"/>
        <v>34.19552827707146</v>
      </c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</row>
    <row r="15" spans="2:55" x14ac:dyDescent="0.2">
      <c r="B15" s="27">
        <v>3</v>
      </c>
      <c r="C15" s="28" t="s">
        <v>27</v>
      </c>
      <c r="D15" s="49">
        <f t="shared" ref="D15:E15" si="21">D14</f>
        <v>18760</v>
      </c>
      <c r="E15" s="50">
        <f t="shared" si="21"/>
        <v>18558</v>
      </c>
      <c r="F15" s="60">
        <f t="shared" si="0"/>
        <v>37318</v>
      </c>
      <c r="G15" s="61"/>
      <c r="H15" s="62"/>
      <c r="I15" s="52">
        <f t="shared" si="1"/>
        <v>0</v>
      </c>
      <c r="J15" s="61"/>
      <c r="K15" s="61"/>
      <c r="L15" s="53">
        <f t="shared" si="2"/>
        <v>0</v>
      </c>
      <c r="M15" s="54">
        <f t="shared" ref="M15:N15" si="22">SUM(G15,J15)</f>
        <v>0</v>
      </c>
      <c r="N15" s="54">
        <f t="shared" si="22"/>
        <v>0</v>
      </c>
      <c r="O15" s="52">
        <f t="shared" si="4"/>
        <v>0</v>
      </c>
      <c r="P15" s="55">
        <f t="shared" si="5"/>
        <v>0</v>
      </c>
      <c r="Q15" s="56"/>
      <c r="R15" s="57"/>
      <c r="S15" s="35">
        <f t="shared" si="6"/>
        <v>0</v>
      </c>
      <c r="T15" s="58" t="e">
        <f t="shared" si="7"/>
        <v>#DIV/0!</v>
      </c>
      <c r="U15" s="41">
        <f ca="1">IFERROR(__xludf.DUMMYFUNCTION("IMPORTRANGE(""https://docs.google.com/spreadsheets/d/1pY4arJd9Lo41E6tW65SKxpf2-ueaDmwITgkFw9ETzeg/edit#gid=630732817"",""CAPAIAN FKTP PER BULAN PER PUSK!BA22:BI22"")"),41)</f>
        <v>41</v>
      </c>
      <c r="V15" s="42">
        <f ca="1">IFERROR(__xludf.DUMMYFUNCTION("""COMPUTED_VALUE"""),65)</f>
        <v>65</v>
      </c>
      <c r="W15" s="43">
        <f ca="1">IFERROR(__xludf.DUMMYFUNCTION("""COMPUTED_VALUE"""),106)</f>
        <v>106</v>
      </c>
      <c r="X15" s="44">
        <f ca="1">IFERROR(__xludf.DUMMYFUNCTION("""COMPUTED_VALUE"""),27)</f>
        <v>27</v>
      </c>
      <c r="Y15" s="44">
        <f ca="1">IFERROR(__xludf.DUMMYFUNCTION("""COMPUTED_VALUE"""),52)</f>
        <v>52</v>
      </c>
      <c r="Z15" s="43">
        <f ca="1">IFERROR(__xludf.DUMMYFUNCTION("""COMPUTED_VALUE"""),79)</f>
        <v>79</v>
      </c>
      <c r="AA15" s="45">
        <f ca="1">IFERROR(__xludf.DUMMYFUNCTION("""COMPUTED_VALUE"""),68)</f>
        <v>68</v>
      </c>
      <c r="AB15" s="45">
        <f ca="1">IFERROR(__xludf.DUMMYFUNCTION("""COMPUTED_VALUE"""),117)</f>
        <v>117</v>
      </c>
      <c r="AC15" s="43">
        <f ca="1">IFERROR(__xludf.DUMMYFUNCTION("""COMPUTED_VALUE"""),185)</f>
        <v>185</v>
      </c>
      <c r="AD15" s="46">
        <f t="shared" ca="1" si="8"/>
        <v>0.49573932150704753</v>
      </c>
      <c r="AE15" s="45">
        <f ca="1">IFERROR(__xludf.DUMMYFUNCTION("IMPORTRANGE(""https://docs.google.com/spreadsheets/d/1pY4arJd9Lo41E6tW65SKxpf2-ueaDmwITgkFw9ETzeg/edit#gid=630732817"",""CAPAIAN FKTP PER BULAN PER PUSK!BJ22:BK22"")"),4)</f>
        <v>4</v>
      </c>
      <c r="AF15" s="45">
        <f ca="1">IFERROR(__xludf.DUMMYFUNCTION("""COMPUTED_VALUE"""),6)</f>
        <v>6</v>
      </c>
      <c r="AG15" s="45">
        <f t="shared" ca="1" si="9"/>
        <v>10</v>
      </c>
      <c r="AH15" s="46">
        <f t="shared" ca="1" si="10"/>
        <v>5.4054054054054053</v>
      </c>
      <c r="AI15" s="35">
        <f t="shared" ref="AI15:AJ15" ca="1" si="23">SUM(AA15,M15)</f>
        <v>68</v>
      </c>
      <c r="AJ15" s="35">
        <f t="shared" ca="1" si="23"/>
        <v>117</v>
      </c>
      <c r="AK15" s="52">
        <f t="shared" ca="1" si="12"/>
        <v>185</v>
      </c>
      <c r="AL15" s="55">
        <f t="shared" ca="1" si="13"/>
        <v>0.49573932150704753</v>
      </c>
      <c r="AM15" s="59">
        <f t="shared" ref="AM15:AN15" ca="1" si="24">SUM(AE15,Q15)</f>
        <v>4</v>
      </c>
      <c r="AN15" s="35">
        <f t="shared" ca="1" si="24"/>
        <v>6</v>
      </c>
      <c r="AO15" s="35">
        <f t="shared" ca="1" si="15"/>
        <v>10</v>
      </c>
      <c r="AP15" s="58">
        <f t="shared" ca="1" si="16"/>
        <v>5.4054054054054053</v>
      </c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</row>
    <row r="16" spans="2:55" x14ac:dyDescent="0.2">
      <c r="B16" s="63">
        <v>4</v>
      </c>
      <c r="C16" s="64" t="s">
        <v>28</v>
      </c>
      <c r="D16" s="65">
        <f t="shared" ref="D16:E16" si="25">D15</f>
        <v>18760</v>
      </c>
      <c r="E16" s="66">
        <f t="shared" si="25"/>
        <v>18558</v>
      </c>
      <c r="F16" s="67">
        <f t="shared" si="0"/>
        <v>37318</v>
      </c>
      <c r="G16" s="68">
        <f t="shared" ref="G16:O16" si="26">SUM(G13:G15)</f>
        <v>619</v>
      </c>
      <c r="H16" s="69">
        <f t="shared" si="26"/>
        <v>1329</v>
      </c>
      <c r="I16" s="70">
        <f t="shared" si="26"/>
        <v>1948</v>
      </c>
      <c r="J16" s="68">
        <f t="shared" si="26"/>
        <v>462</v>
      </c>
      <c r="K16" s="68">
        <f t="shared" si="26"/>
        <v>1414</v>
      </c>
      <c r="L16" s="71">
        <f t="shared" si="26"/>
        <v>1876</v>
      </c>
      <c r="M16" s="72">
        <f t="shared" si="26"/>
        <v>1081</v>
      </c>
      <c r="N16" s="72">
        <f t="shared" si="26"/>
        <v>2743</v>
      </c>
      <c r="O16" s="70">
        <f t="shared" si="26"/>
        <v>3824</v>
      </c>
      <c r="P16" s="73">
        <f t="shared" si="5"/>
        <v>10.247065759151081</v>
      </c>
      <c r="Q16" s="74">
        <f t="shared" ref="Q16:S16" si="27">SUM(Q13:Q15)</f>
        <v>481</v>
      </c>
      <c r="R16" s="75">
        <f t="shared" si="27"/>
        <v>1109</v>
      </c>
      <c r="S16" s="75">
        <f t="shared" si="27"/>
        <v>1590</v>
      </c>
      <c r="T16" s="76">
        <f t="shared" si="7"/>
        <v>41.579497907949794</v>
      </c>
      <c r="U16" s="77">
        <f t="shared" ref="U16:AC16" ca="1" si="28">SUM(U13:U15)</f>
        <v>164</v>
      </c>
      <c r="V16" s="78">
        <f t="shared" ca="1" si="28"/>
        <v>256</v>
      </c>
      <c r="W16" s="79">
        <f t="shared" ca="1" si="28"/>
        <v>420</v>
      </c>
      <c r="X16" s="80">
        <f t="shared" ca="1" si="28"/>
        <v>115</v>
      </c>
      <c r="Y16" s="80">
        <f t="shared" ca="1" si="28"/>
        <v>154</v>
      </c>
      <c r="Z16" s="79">
        <f t="shared" ca="1" si="28"/>
        <v>269</v>
      </c>
      <c r="AA16" s="80">
        <f t="shared" ca="1" si="28"/>
        <v>279</v>
      </c>
      <c r="AB16" s="80">
        <f t="shared" ca="1" si="28"/>
        <v>410</v>
      </c>
      <c r="AC16" s="79">
        <f t="shared" ca="1" si="28"/>
        <v>689</v>
      </c>
      <c r="AD16" s="81">
        <f t="shared" ca="1" si="8"/>
        <v>1.8462940136127339</v>
      </c>
      <c r="AE16" s="80">
        <f t="shared" ref="AE16:AG16" ca="1" si="29">SUM(AE13:AE15)</f>
        <v>22</v>
      </c>
      <c r="AF16" s="80">
        <f t="shared" ca="1" si="29"/>
        <v>29</v>
      </c>
      <c r="AG16" s="80">
        <f t="shared" ca="1" si="29"/>
        <v>51</v>
      </c>
      <c r="AH16" s="81">
        <f t="shared" ca="1" si="10"/>
        <v>7.4020319303338171</v>
      </c>
      <c r="AI16" s="72">
        <f t="shared" ref="AI16:AK16" ca="1" si="30">SUM(AI13:AI15)</f>
        <v>1360</v>
      </c>
      <c r="AJ16" s="72">
        <f t="shared" ca="1" si="30"/>
        <v>3153</v>
      </c>
      <c r="AK16" s="70">
        <f t="shared" ca="1" si="30"/>
        <v>4513</v>
      </c>
      <c r="AL16" s="73">
        <f t="shared" ca="1" si="13"/>
        <v>12.093359772763813</v>
      </c>
      <c r="AM16" s="74">
        <f t="shared" ref="AM16:AO16" ca="1" si="31">SUM(AM13:AM15)</f>
        <v>503</v>
      </c>
      <c r="AN16" s="75">
        <f t="shared" ca="1" si="31"/>
        <v>1138</v>
      </c>
      <c r="AO16" s="75">
        <f t="shared" ca="1" si="31"/>
        <v>1641</v>
      </c>
      <c r="AP16" s="76">
        <f t="shared" ca="1" si="16"/>
        <v>36.361621980943944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</row>
    <row r="17" spans="2:55" x14ac:dyDescent="0.2">
      <c r="B17" s="27">
        <v>5</v>
      </c>
      <c r="C17" s="28" t="s">
        <v>29</v>
      </c>
      <c r="D17" s="49">
        <f t="shared" ref="D17:E17" si="32">D16</f>
        <v>18760</v>
      </c>
      <c r="E17" s="50">
        <f t="shared" si="32"/>
        <v>18558</v>
      </c>
      <c r="F17" s="60">
        <f t="shared" si="0"/>
        <v>37318</v>
      </c>
      <c r="G17" s="61"/>
      <c r="H17" s="61"/>
      <c r="I17" s="52">
        <f t="shared" ref="I17:I19" si="33">G17+H17</f>
        <v>0</v>
      </c>
      <c r="J17" s="61"/>
      <c r="K17" s="61"/>
      <c r="L17" s="53">
        <f t="shared" ref="L17:L19" si="34">J17+K17</f>
        <v>0</v>
      </c>
      <c r="M17" s="54">
        <f t="shared" ref="M17:N17" si="35">SUM(G17,J17)</f>
        <v>0</v>
      </c>
      <c r="N17" s="54">
        <f t="shared" si="35"/>
        <v>0</v>
      </c>
      <c r="O17" s="52">
        <f t="shared" ref="O17:O19" si="36">M17+N17</f>
        <v>0</v>
      </c>
      <c r="P17" s="55">
        <f t="shared" si="5"/>
        <v>0</v>
      </c>
      <c r="Q17" s="56"/>
      <c r="R17" s="57"/>
      <c r="S17" s="35">
        <f t="shared" ref="S17:S19" si="37">Q17+R17</f>
        <v>0</v>
      </c>
      <c r="T17" s="58" t="e">
        <f t="shared" si="7"/>
        <v>#DIV/0!</v>
      </c>
      <c r="U17" s="41">
        <f ca="1">IFERROR(__xludf.DUMMYFUNCTION("IMPORTRANGE(""https://docs.google.com/spreadsheets/d/1pY4arJd9Lo41E6tW65SKxpf2-ueaDmwITgkFw9ETzeg/edit#gid=630732817"",""CAPAIAN FKTP PER BULAN PER PUSK!BZ22:CH22"")"),46)</f>
        <v>46</v>
      </c>
      <c r="V17" s="42">
        <f ca="1">IFERROR(__xludf.DUMMYFUNCTION("""COMPUTED_VALUE"""),76)</f>
        <v>76</v>
      </c>
      <c r="W17" s="43">
        <f ca="1">IFERROR(__xludf.DUMMYFUNCTION("""COMPUTED_VALUE"""),122)</f>
        <v>122</v>
      </c>
      <c r="X17" s="44">
        <f ca="1">IFERROR(__xludf.DUMMYFUNCTION("""COMPUTED_VALUE"""),41)</f>
        <v>41</v>
      </c>
      <c r="Y17" s="44">
        <f ca="1">IFERROR(__xludf.DUMMYFUNCTION("""COMPUTED_VALUE"""),60)</f>
        <v>60</v>
      </c>
      <c r="Z17" s="43">
        <f ca="1">IFERROR(__xludf.DUMMYFUNCTION("""COMPUTED_VALUE"""),101)</f>
        <v>101</v>
      </c>
      <c r="AA17" s="45">
        <f ca="1">IFERROR(__xludf.DUMMYFUNCTION("""COMPUTED_VALUE"""),87)</f>
        <v>87</v>
      </c>
      <c r="AB17" s="45">
        <f ca="1">IFERROR(__xludf.DUMMYFUNCTION("""COMPUTED_VALUE"""),136)</f>
        <v>136</v>
      </c>
      <c r="AC17" s="43">
        <f ca="1">IFERROR(__xludf.DUMMYFUNCTION("""COMPUTED_VALUE"""),223)</f>
        <v>223</v>
      </c>
      <c r="AD17" s="46">
        <f t="shared" ca="1" si="8"/>
        <v>0.59756685781660324</v>
      </c>
      <c r="AE17" s="45">
        <f ca="1">IFERROR(__xludf.DUMMYFUNCTION("IMPORTRANGE(""https://docs.google.com/spreadsheets/d/1pY4arJd9Lo41E6tW65SKxpf2-ueaDmwITgkFw9ETzeg/edit#gid=630732817"",""CAPAIAN FKTP PER BULAN PER PUSK!CI22:CJ22"")"),5)</f>
        <v>5</v>
      </c>
      <c r="AF17" s="45">
        <f ca="1">IFERROR(__xludf.DUMMYFUNCTION("""COMPUTED_VALUE"""),8)</f>
        <v>8</v>
      </c>
      <c r="AG17" s="45">
        <f t="shared" ref="AG17:AG19" ca="1" si="38">AE17+AF17</f>
        <v>13</v>
      </c>
      <c r="AH17" s="46">
        <f t="shared" ca="1" si="10"/>
        <v>5.8295964125560538</v>
      </c>
      <c r="AI17" s="35">
        <f t="shared" ref="AI17:AJ17" ca="1" si="39">SUM(AA17,M17)</f>
        <v>87</v>
      </c>
      <c r="AJ17" s="35">
        <f t="shared" ca="1" si="39"/>
        <v>136</v>
      </c>
      <c r="AK17" s="52">
        <f t="shared" ref="AK17:AK19" ca="1" si="40">AI17+AJ17</f>
        <v>223</v>
      </c>
      <c r="AL17" s="55">
        <f t="shared" ca="1" si="13"/>
        <v>0.59756685781660324</v>
      </c>
      <c r="AM17" s="59">
        <f t="shared" ref="AM17:AN17" ca="1" si="41">SUM(AE17,Q17)</f>
        <v>5</v>
      </c>
      <c r="AN17" s="35">
        <f t="shared" ca="1" si="41"/>
        <v>8</v>
      </c>
      <c r="AO17" s="35">
        <f t="shared" ref="AO17:AO19" ca="1" si="42">AM17+AN17</f>
        <v>13</v>
      </c>
      <c r="AP17" s="58">
        <f t="shared" ca="1" si="16"/>
        <v>5.8295964125560538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</row>
    <row r="18" spans="2:55" x14ac:dyDescent="0.2">
      <c r="B18" s="27">
        <v>6</v>
      </c>
      <c r="C18" s="28" t="s">
        <v>30</v>
      </c>
      <c r="D18" s="49">
        <f t="shared" ref="D18:E18" si="43">D17</f>
        <v>18760</v>
      </c>
      <c r="E18" s="50">
        <f t="shared" si="43"/>
        <v>18558</v>
      </c>
      <c r="F18" s="60">
        <f t="shared" si="0"/>
        <v>37318</v>
      </c>
      <c r="G18" s="61"/>
      <c r="H18" s="61"/>
      <c r="I18" s="52">
        <f t="shared" si="33"/>
        <v>0</v>
      </c>
      <c r="J18" s="61"/>
      <c r="K18" s="61"/>
      <c r="L18" s="53">
        <f t="shared" si="34"/>
        <v>0</v>
      </c>
      <c r="M18" s="54">
        <f t="shared" ref="M18:N18" si="44">SUM(G18,J18)</f>
        <v>0</v>
      </c>
      <c r="N18" s="54">
        <f t="shared" si="44"/>
        <v>0</v>
      </c>
      <c r="O18" s="52">
        <f t="shared" si="36"/>
        <v>0</v>
      </c>
      <c r="P18" s="55">
        <f t="shared" si="5"/>
        <v>0</v>
      </c>
      <c r="Q18" s="56"/>
      <c r="R18" s="57"/>
      <c r="S18" s="35">
        <f t="shared" si="37"/>
        <v>0</v>
      </c>
      <c r="T18" s="58" t="e">
        <f t="shared" si="7"/>
        <v>#DIV/0!</v>
      </c>
      <c r="U18" s="41">
        <f ca="1">IFERROR(__xludf.DUMMYFUNCTION("IMPORTRANGE(""https://docs.google.com/spreadsheets/d/1pY4arJd9Lo41E6tW65SKxpf2-ueaDmwITgkFw9ETzeg/edit#gid=630732817"",""CAPAIAN FKTP PER BULAN PER PUSK!CY22:DG22"")"),57)</f>
        <v>57</v>
      </c>
      <c r="V18" s="42">
        <f ca="1">IFERROR(__xludf.DUMMYFUNCTION("""COMPUTED_VALUE"""),112)</f>
        <v>112</v>
      </c>
      <c r="W18" s="43">
        <f ca="1">IFERROR(__xludf.DUMMYFUNCTION("""COMPUTED_VALUE"""),169)</f>
        <v>169</v>
      </c>
      <c r="X18" s="44">
        <f ca="1">IFERROR(__xludf.DUMMYFUNCTION("""COMPUTED_VALUE"""),30)</f>
        <v>30</v>
      </c>
      <c r="Y18" s="44">
        <f ca="1">IFERROR(__xludf.DUMMYFUNCTION("""COMPUTED_VALUE"""),59)</f>
        <v>59</v>
      </c>
      <c r="Z18" s="43">
        <f ca="1">IFERROR(__xludf.DUMMYFUNCTION("""COMPUTED_VALUE"""),89)</f>
        <v>89</v>
      </c>
      <c r="AA18" s="45">
        <f ca="1">IFERROR(__xludf.DUMMYFUNCTION("""COMPUTED_VALUE"""),87)</f>
        <v>87</v>
      </c>
      <c r="AB18" s="45">
        <f ca="1">IFERROR(__xludf.DUMMYFUNCTION("""COMPUTED_VALUE"""),171)</f>
        <v>171</v>
      </c>
      <c r="AC18" s="43">
        <f ca="1">IFERROR(__xludf.DUMMYFUNCTION("""COMPUTED_VALUE"""),258)</f>
        <v>258</v>
      </c>
      <c r="AD18" s="46">
        <f t="shared" ca="1" si="8"/>
        <v>0.69135537810172032</v>
      </c>
      <c r="AE18" s="45">
        <f ca="1">IFERROR(__xludf.DUMMYFUNCTION("IMPORTRANGE(""https://docs.google.com/spreadsheets/d/1pY4arJd9Lo41E6tW65SKxpf2-ueaDmwITgkFw9ETzeg/edit#gid=630732817"",""CAPAIAN FKTP PER BULAN PER PUSK!DH22:DI22"")"),6)</f>
        <v>6</v>
      </c>
      <c r="AF18" s="45">
        <f ca="1">IFERROR(__xludf.DUMMYFUNCTION("""COMPUTED_VALUE"""),9)</f>
        <v>9</v>
      </c>
      <c r="AG18" s="45">
        <f t="shared" ca="1" si="38"/>
        <v>15</v>
      </c>
      <c r="AH18" s="46">
        <f t="shared" ca="1" si="10"/>
        <v>5.8139534883720927</v>
      </c>
      <c r="AI18" s="35">
        <f t="shared" ref="AI18:AJ18" ca="1" si="45">SUM(AA18,M18)</f>
        <v>87</v>
      </c>
      <c r="AJ18" s="35">
        <f t="shared" ca="1" si="45"/>
        <v>171</v>
      </c>
      <c r="AK18" s="52">
        <f t="shared" ca="1" si="40"/>
        <v>258</v>
      </c>
      <c r="AL18" s="55">
        <f t="shared" ca="1" si="13"/>
        <v>0.69135537810172032</v>
      </c>
      <c r="AM18" s="59">
        <f t="shared" ref="AM18:AN18" ca="1" si="46">SUM(AE18,Q18)</f>
        <v>6</v>
      </c>
      <c r="AN18" s="35">
        <f t="shared" ca="1" si="46"/>
        <v>9</v>
      </c>
      <c r="AO18" s="35">
        <f t="shared" ca="1" si="42"/>
        <v>15</v>
      </c>
      <c r="AP18" s="58">
        <f t="shared" ca="1" si="16"/>
        <v>5.8139534883720927</v>
      </c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</row>
    <row r="19" spans="2:55" ht="15.75" x14ac:dyDescent="0.2">
      <c r="B19" s="82">
        <v>7</v>
      </c>
      <c r="C19" s="28" t="s">
        <v>31</v>
      </c>
      <c r="D19" s="49">
        <f t="shared" ref="D19:E19" si="47">D18</f>
        <v>18760</v>
      </c>
      <c r="E19" s="50">
        <f t="shared" si="47"/>
        <v>18558</v>
      </c>
      <c r="F19" s="60">
        <f t="shared" si="0"/>
        <v>37318</v>
      </c>
      <c r="G19" s="61"/>
      <c r="H19" s="61"/>
      <c r="I19" s="52">
        <f t="shared" si="33"/>
        <v>0</v>
      </c>
      <c r="J19" s="61"/>
      <c r="K19" s="61"/>
      <c r="L19" s="53">
        <f t="shared" si="34"/>
        <v>0</v>
      </c>
      <c r="M19" s="54">
        <f t="shared" ref="M19:N19" si="48">SUM(G19,J19)</f>
        <v>0</v>
      </c>
      <c r="N19" s="54">
        <f t="shared" si="48"/>
        <v>0</v>
      </c>
      <c r="O19" s="52">
        <f t="shared" si="36"/>
        <v>0</v>
      </c>
      <c r="P19" s="55">
        <f t="shared" si="5"/>
        <v>0</v>
      </c>
      <c r="Q19" s="56"/>
      <c r="R19" s="57"/>
      <c r="S19" s="35">
        <f t="shared" si="37"/>
        <v>0</v>
      </c>
      <c r="T19" s="58" t="e">
        <f t="shared" si="7"/>
        <v>#DIV/0!</v>
      </c>
      <c r="U19" s="41">
        <f ca="1">IFERROR(__xludf.DUMMYFUNCTION("IMPORTRANGE(""https://docs.google.com/spreadsheets/d/1pY4arJd9Lo41E6tW65SKxpf2-ueaDmwITgkFw9ETzeg/edit#gid=630732817"",""CAPAIAN FKTP PER BULAN PER PUSK!DX22:EF22"")"),48)</f>
        <v>48</v>
      </c>
      <c r="V19" s="42">
        <f ca="1">IFERROR(__xludf.DUMMYFUNCTION("""COMPUTED_VALUE"""),70)</f>
        <v>70</v>
      </c>
      <c r="W19" s="43">
        <f ca="1">IFERROR(__xludf.DUMMYFUNCTION("""COMPUTED_VALUE"""),118)</f>
        <v>118</v>
      </c>
      <c r="X19" s="44">
        <f ca="1">IFERROR(__xludf.DUMMYFUNCTION("""COMPUTED_VALUE"""),31)</f>
        <v>31</v>
      </c>
      <c r="Y19" s="44">
        <f ca="1">IFERROR(__xludf.DUMMYFUNCTION("""COMPUTED_VALUE"""),50)</f>
        <v>50</v>
      </c>
      <c r="Z19" s="43">
        <f ca="1">IFERROR(__xludf.DUMMYFUNCTION("""COMPUTED_VALUE"""),81)</f>
        <v>81</v>
      </c>
      <c r="AA19" s="45">
        <f ca="1">IFERROR(__xludf.DUMMYFUNCTION("""COMPUTED_VALUE"""),79)</f>
        <v>79</v>
      </c>
      <c r="AB19" s="45">
        <f ca="1">IFERROR(__xludf.DUMMYFUNCTION("""COMPUTED_VALUE"""),120)</f>
        <v>120</v>
      </c>
      <c r="AC19" s="43">
        <f ca="1">IFERROR(__xludf.DUMMYFUNCTION("""COMPUTED_VALUE"""),199)</f>
        <v>199</v>
      </c>
      <c r="AD19" s="46">
        <f t="shared" ca="1" si="8"/>
        <v>0.53325472962109433</v>
      </c>
      <c r="AE19" s="45">
        <f ca="1">IFERROR(__xludf.DUMMYFUNCTION("IMPORTRANGE(""https://docs.google.com/spreadsheets/d/1pY4arJd9Lo41E6tW65SKxpf2-ueaDmwITgkFw9ETzeg/edit#gid=630732817"",""CAPAIAN FKTP PER BULAN PER PUSK!EG22:EH22"")"),6)</f>
        <v>6</v>
      </c>
      <c r="AF19" s="45">
        <f ca="1">IFERROR(__xludf.DUMMYFUNCTION("""COMPUTED_VALUE"""),10)</f>
        <v>10</v>
      </c>
      <c r="AG19" s="45">
        <f t="shared" ca="1" si="38"/>
        <v>16</v>
      </c>
      <c r="AH19" s="46">
        <f t="shared" ca="1" si="10"/>
        <v>8.0402010050251249</v>
      </c>
      <c r="AI19" s="35">
        <f t="shared" ref="AI19:AJ19" ca="1" si="49">SUM(AA19,M19)</f>
        <v>79</v>
      </c>
      <c r="AJ19" s="35">
        <f t="shared" ca="1" si="49"/>
        <v>120</v>
      </c>
      <c r="AK19" s="52">
        <f t="shared" ca="1" si="40"/>
        <v>199</v>
      </c>
      <c r="AL19" s="55">
        <f t="shared" ca="1" si="13"/>
        <v>0.53325472962109433</v>
      </c>
      <c r="AM19" s="59">
        <f t="shared" ref="AM19:AN19" ca="1" si="50">SUM(AE19,Q19)</f>
        <v>6</v>
      </c>
      <c r="AN19" s="35">
        <f t="shared" ca="1" si="50"/>
        <v>10</v>
      </c>
      <c r="AO19" s="35">
        <f t="shared" ca="1" si="42"/>
        <v>16</v>
      </c>
      <c r="AP19" s="58">
        <f t="shared" ca="1" si="16"/>
        <v>8.0402010050251249</v>
      </c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</row>
    <row r="20" spans="2:55" x14ac:dyDescent="0.2">
      <c r="B20" s="63">
        <v>8</v>
      </c>
      <c r="C20" s="64" t="s">
        <v>32</v>
      </c>
      <c r="D20" s="65">
        <f t="shared" ref="D20:E20" si="51">D19</f>
        <v>18760</v>
      </c>
      <c r="E20" s="66">
        <f t="shared" si="51"/>
        <v>18558</v>
      </c>
      <c r="F20" s="67">
        <f t="shared" si="0"/>
        <v>37318</v>
      </c>
      <c r="G20" s="68">
        <f t="shared" ref="G20:O20" si="52">SUM(G17:G19)</f>
        <v>0</v>
      </c>
      <c r="H20" s="69">
        <f t="shared" si="52"/>
        <v>0</v>
      </c>
      <c r="I20" s="70">
        <f t="shared" si="52"/>
        <v>0</v>
      </c>
      <c r="J20" s="68">
        <f t="shared" si="52"/>
        <v>0</v>
      </c>
      <c r="K20" s="68">
        <f t="shared" si="52"/>
        <v>0</v>
      </c>
      <c r="L20" s="71">
        <f t="shared" si="52"/>
        <v>0</v>
      </c>
      <c r="M20" s="72">
        <f t="shared" si="52"/>
        <v>0</v>
      </c>
      <c r="N20" s="72">
        <f t="shared" si="52"/>
        <v>0</v>
      </c>
      <c r="O20" s="70">
        <f t="shared" si="52"/>
        <v>0</v>
      </c>
      <c r="P20" s="73">
        <f t="shared" si="5"/>
        <v>0</v>
      </c>
      <c r="Q20" s="74">
        <f t="shared" ref="Q20:S20" si="53">SUM(Q17:Q19)</f>
        <v>0</v>
      </c>
      <c r="R20" s="75">
        <f t="shared" si="53"/>
        <v>0</v>
      </c>
      <c r="S20" s="75">
        <f t="shared" si="53"/>
        <v>0</v>
      </c>
      <c r="T20" s="76" t="e">
        <f t="shared" si="7"/>
        <v>#DIV/0!</v>
      </c>
      <c r="U20" s="77">
        <f t="shared" ref="U20:AC20" ca="1" si="54">SUM(U17:U19)</f>
        <v>151</v>
      </c>
      <c r="V20" s="78">
        <f t="shared" ca="1" si="54"/>
        <v>258</v>
      </c>
      <c r="W20" s="79">
        <f t="shared" ca="1" si="54"/>
        <v>409</v>
      </c>
      <c r="X20" s="80">
        <f t="shared" ca="1" si="54"/>
        <v>102</v>
      </c>
      <c r="Y20" s="80">
        <f t="shared" ca="1" si="54"/>
        <v>169</v>
      </c>
      <c r="Z20" s="79">
        <f t="shared" ca="1" si="54"/>
        <v>271</v>
      </c>
      <c r="AA20" s="80">
        <f t="shared" ca="1" si="54"/>
        <v>253</v>
      </c>
      <c r="AB20" s="80">
        <f t="shared" ca="1" si="54"/>
        <v>427</v>
      </c>
      <c r="AC20" s="79">
        <f t="shared" ca="1" si="54"/>
        <v>680</v>
      </c>
      <c r="AD20" s="81">
        <f t="shared" ca="1" si="8"/>
        <v>1.8221769655394178</v>
      </c>
      <c r="AE20" s="80">
        <f t="shared" ref="AE20:AG20" ca="1" si="55">SUM(AE17:AE19)</f>
        <v>17</v>
      </c>
      <c r="AF20" s="80">
        <f t="shared" ca="1" si="55"/>
        <v>27</v>
      </c>
      <c r="AG20" s="80">
        <f t="shared" ca="1" si="55"/>
        <v>44</v>
      </c>
      <c r="AH20" s="81">
        <f t="shared" ca="1" si="10"/>
        <v>6.4705882352941186</v>
      </c>
      <c r="AI20" s="72">
        <f t="shared" ref="AI20:AK20" ca="1" si="56">SUM(AI17:AI19)</f>
        <v>253</v>
      </c>
      <c r="AJ20" s="72">
        <f t="shared" ca="1" si="56"/>
        <v>427</v>
      </c>
      <c r="AK20" s="70">
        <f t="shared" ca="1" si="56"/>
        <v>680</v>
      </c>
      <c r="AL20" s="73">
        <f t="shared" ca="1" si="13"/>
        <v>1.8221769655394178</v>
      </c>
      <c r="AM20" s="74">
        <f t="shared" ref="AM20:AO20" ca="1" si="57">SUM(AM17:AM19)</f>
        <v>17</v>
      </c>
      <c r="AN20" s="75">
        <f t="shared" ca="1" si="57"/>
        <v>27</v>
      </c>
      <c r="AO20" s="75">
        <f t="shared" ca="1" si="57"/>
        <v>44</v>
      </c>
      <c r="AP20" s="76">
        <f t="shared" ca="1" si="16"/>
        <v>6.4705882352941186</v>
      </c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</row>
    <row r="21" spans="2:55" ht="15.75" customHeight="1" x14ac:dyDescent="0.2">
      <c r="B21" s="27">
        <v>9</v>
      </c>
      <c r="C21" s="28" t="s">
        <v>33</v>
      </c>
      <c r="D21" s="49">
        <f t="shared" ref="D21:E21" si="58">D20</f>
        <v>18760</v>
      </c>
      <c r="E21" s="50">
        <f t="shared" si="58"/>
        <v>18558</v>
      </c>
      <c r="F21" s="60">
        <f t="shared" si="0"/>
        <v>37318</v>
      </c>
      <c r="G21" s="61"/>
      <c r="H21" s="61"/>
      <c r="I21" s="52">
        <f t="shared" ref="I21:I23" si="59">G21+H21</f>
        <v>0</v>
      </c>
      <c r="J21" s="61"/>
      <c r="K21" s="61"/>
      <c r="L21" s="53">
        <f t="shared" ref="L21:L23" si="60">J21+K21</f>
        <v>0</v>
      </c>
      <c r="M21" s="54">
        <f t="shared" ref="M21:N21" si="61">SUM(G21,J21)</f>
        <v>0</v>
      </c>
      <c r="N21" s="54">
        <f t="shared" si="61"/>
        <v>0</v>
      </c>
      <c r="O21" s="52">
        <f t="shared" ref="O21:O23" si="62">M21+N21</f>
        <v>0</v>
      </c>
      <c r="P21" s="55">
        <f t="shared" si="5"/>
        <v>0</v>
      </c>
      <c r="Q21" s="56"/>
      <c r="R21" s="57"/>
      <c r="S21" s="35">
        <f t="shared" ref="S21:S23" si="63">Q21+R21</f>
        <v>0</v>
      </c>
      <c r="T21" s="58" t="e">
        <f t="shared" si="7"/>
        <v>#DIV/0!</v>
      </c>
      <c r="U21" s="41">
        <f ca="1">IFERROR(__xludf.DUMMYFUNCTION("IMPORTRANGE(""https://docs.google.com/spreadsheets/d/1pY4arJd9Lo41E6tW65SKxpf2-ueaDmwITgkFw9ETzeg/edit#gid=630732817"",""CAPAIAN FKTP PER BULAN PER PUSK!EW22:FE22"")"),49)</f>
        <v>49</v>
      </c>
      <c r="V21" s="42">
        <f ca="1">IFERROR(__xludf.DUMMYFUNCTION("""COMPUTED_VALUE"""),93)</f>
        <v>93</v>
      </c>
      <c r="W21" s="43">
        <f ca="1">IFERROR(__xludf.DUMMYFUNCTION("""COMPUTED_VALUE"""),142)</f>
        <v>142</v>
      </c>
      <c r="X21" s="44">
        <f ca="1">IFERROR(__xludf.DUMMYFUNCTION("""COMPUTED_VALUE"""),21)</f>
        <v>21</v>
      </c>
      <c r="Y21" s="44">
        <f ca="1">IFERROR(__xludf.DUMMYFUNCTION("""COMPUTED_VALUE"""),56)</f>
        <v>56</v>
      </c>
      <c r="Z21" s="43">
        <f ca="1">IFERROR(__xludf.DUMMYFUNCTION("""COMPUTED_VALUE"""),77)</f>
        <v>77</v>
      </c>
      <c r="AA21" s="45">
        <f ca="1">IFERROR(__xludf.DUMMYFUNCTION("""COMPUTED_VALUE"""),70)</f>
        <v>70</v>
      </c>
      <c r="AB21" s="45">
        <f ca="1">IFERROR(__xludf.DUMMYFUNCTION("""COMPUTED_VALUE"""),149)</f>
        <v>149</v>
      </c>
      <c r="AC21" s="43">
        <f ca="1">IFERROR(__xludf.DUMMYFUNCTION("""COMPUTED_VALUE"""),219)</f>
        <v>219</v>
      </c>
      <c r="AD21" s="46">
        <f t="shared" ca="1" si="8"/>
        <v>0.58684816978401844</v>
      </c>
      <c r="AE21" s="45">
        <f ca="1">IFERROR(__xludf.DUMMYFUNCTION("IMPORTRANGE(""https://docs.google.com/spreadsheets/d/1pY4arJd9Lo41E6tW65SKxpf2-ueaDmwITgkFw9ETzeg/edit#gid=630732817"",""CAPAIAN FKTP PER BULAN PER PUSK!FF22:FG22"")"),2)</f>
        <v>2</v>
      </c>
      <c r="AF21" s="45">
        <f ca="1">IFERROR(__xludf.DUMMYFUNCTION("""COMPUTED_VALUE"""),13)</f>
        <v>13</v>
      </c>
      <c r="AG21" s="45">
        <f t="shared" ref="AG21:AG23" ca="1" si="64">AE21+AF21</f>
        <v>15</v>
      </c>
      <c r="AH21" s="46">
        <f t="shared" ca="1" si="10"/>
        <v>6.8493150684931505</v>
      </c>
      <c r="AI21" s="35">
        <f t="shared" ref="AI21:AJ21" ca="1" si="65">SUM(AA21,M21)</f>
        <v>70</v>
      </c>
      <c r="AJ21" s="35">
        <f t="shared" ca="1" si="65"/>
        <v>149</v>
      </c>
      <c r="AK21" s="52">
        <f t="shared" ref="AK21:AK23" ca="1" si="66">AI21+AJ21</f>
        <v>219</v>
      </c>
      <c r="AL21" s="55">
        <f t="shared" ca="1" si="13"/>
        <v>0.58684816978401844</v>
      </c>
      <c r="AM21" s="59">
        <f t="shared" ref="AM21:AN21" ca="1" si="67">SUM(AE21,Q21)</f>
        <v>2</v>
      </c>
      <c r="AN21" s="35">
        <f t="shared" ca="1" si="67"/>
        <v>13</v>
      </c>
      <c r="AO21" s="35">
        <f t="shared" ref="AO21:AO23" ca="1" si="68">AM21+AN21</f>
        <v>15</v>
      </c>
      <c r="AP21" s="58">
        <f t="shared" ca="1" si="16"/>
        <v>6.8493150684931505</v>
      </c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</row>
    <row r="22" spans="2:55" ht="15.75" customHeight="1" x14ac:dyDescent="0.15">
      <c r="B22" s="27">
        <v>10</v>
      </c>
      <c r="C22" s="28" t="s">
        <v>34</v>
      </c>
      <c r="D22" s="49">
        <f t="shared" ref="D22:E22" si="69">D21</f>
        <v>18760</v>
      </c>
      <c r="E22" s="50">
        <f t="shared" si="69"/>
        <v>18558</v>
      </c>
      <c r="F22" s="60">
        <f t="shared" si="0"/>
        <v>37318</v>
      </c>
      <c r="G22" s="61"/>
      <c r="H22" s="61"/>
      <c r="I22" s="52">
        <f t="shared" si="59"/>
        <v>0</v>
      </c>
      <c r="J22" s="61"/>
      <c r="K22" s="61"/>
      <c r="L22" s="53">
        <f t="shared" si="60"/>
        <v>0</v>
      </c>
      <c r="M22" s="54">
        <f t="shared" ref="M22:N22" si="70">SUM(G22,J22)</f>
        <v>0</v>
      </c>
      <c r="N22" s="54">
        <f t="shared" si="70"/>
        <v>0</v>
      </c>
      <c r="O22" s="52">
        <f t="shared" si="62"/>
        <v>0</v>
      </c>
      <c r="P22" s="55">
        <f t="shared" si="5"/>
        <v>0</v>
      </c>
      <c r="Q22" s="56"/>
      <c r="R22" s="57"/>
      <c r="S22" s="35">
        <f t="shared" si="63"/>
        <v>0</v>
      </c>
      <c r="T22" s="58" t="e">
        <f t="shared" si="7"/>
        <v>#DIV/0!</v>
      </c>
      <c r="U22" s="83">
        <f ca="1">IFERROR(__xludf.DUMMYFUNCTION("IMPORTRANGE(""https://docs.google.com/spreadsheets/d/1pY4arJd9Lo41E6tW65SKxpf2-ueaDmwITgkFw9ETzeg/edit#gid=630732817"",""CAPAIAN FKTP PER BULAN PER PUSK!FV22:GD22"")"),48)</f>
        <v>48</v>
      </c>
      <c r="V22" s="42">
        <f ca="1">IFERROR(__xludf.DUMMYFUNCTION("""COMPUTED_VALUE"""),86)</f>
        <v>86</v>
      </c>
      <c r="W22" s="84">
        <f ca="1">IFERROR(__xludf.DUMMYFUNCTION("""COMPUTED_VALUE"""),134)</f>
        <v>134</v>
      </c>
      <c r="X22" s="85">
        <f ca="1">IFERROR(__xludf.DUMMYFUNCTION("""COMPUTED_VALUE"""),26)</f>
        <v>26</v>
      </c>
      <c r="Y22" s="85">
        <f ca="1">IFERROR(__xludf.DUMMYFUNCTION("""COMPUTED_VALUE"""),36)</f>
        <v>36</v>
      </c>
      <c r="Z22" s="84">
        <f ca="1">IFERROR(__xludf.DUMMYFUNCTION("""COMPUTED_VALUE"""),62)</f>
        <v>62</v>
      </c>
      <c r="AA22" s="86">
        <f ca="1">IFERROR(__xludf.DUMMYFUNCTION("""COMPUTED_VALUE"""),74)</f>
        <v>74</v>
      </c>
      <c r="AB22" s="86">
        <f ca="1">IFERROR(__xludf.DUMMYFUNCTION("""COMPUTED_VALUE"""),122)</f>
        <v>122</v>
      </c>
      <c r="AC22" s="84">
        <f ca="1">IFERROR(__xludf.DUMMYFUNCTION("""COMPUTED_VALUE"""),196)</f>
        <v>196</v>
      </c>
      <c r="AD22" s="87">
        <f t="shared" ca="1" si="8"/>
        <v>0.52521571359665575</v>
      </c>
      <c r="AE22" s="86">
        <f ca="1">IFERROR(__xludf.DUMMYFUNCTION("IMPORTRANGE(""https://docs.google.com/spreadsheets/d/1pY4arJd9Lo41E6tW65SKxpf2-ueaDmwITgkFw9ETzeg/edit#gid=630732817"",""CAPAIAN FKTP PER BULAN PER PUSK!GE22:GF22"")"),3)</f>
        <v>3</v>
      </c>
      <c r="AF22" s="86">
        <f ca="1">IFERROR(__xludf.DUMMYFUNCTION("""COMPUTED_VALUE"""),4)</f>
        <v>4</v>
      </c>
      <c r="AG22" s="86">
        <f t="shared" ca="1" si="64"/>
        <v>7</v>
      </c>
      <c r="AH22" s="87">
        <f t="shared" ca="1" si="10"/>
        <v>3.5714285714285712</v>
      </c>
      <c r="AI22" s="35">
        <f t="shared" ref="AI22:AJ22" ca="1" si="71">SUM(AA22,M22)</f>
        <v>74</v>
      </c>
      <c r="AJ22" s="35">
        <f t="shared" ca="1" si="71"/>
        <v>122</v>
      </c>
      <c r="AK22" s="52">
        <f t="shared" ca="1" si="66"/>
        <v>196</v>
      </c>
      <c r="AL22" s="55">
        <f t="shared" ca="1" si="13"/>
        <v>0.52521571359665575</v>
      </c>
      <c r="AM22" s="59">
        <f t="shared" ref="AM22:AN22" ca="1" si="72">SUM(AE22,Q22)</f>
        <v>3</v>
      </c>
      <c r="AN22" s="35">
        <f t="shared" ca="1" si="72"/>
        <v>4</v>
      </c>
      <c r="AO22" s="35">
        <f t="shared" ca="1" si="68"/>
        <v>7</v>
      </c>
      <c r="AP22" s="58">
        <f t="shared" ca="1" si="16"/>
        <v>3.5714285714285712</v>
      </c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</row>
    <row r="23" spans="2:55" ht="15.75" customHeight="1" x14ac:dyDescent="0.15">
      <c r="B23" s="27">
        <v>11</v>
      </c>
      <c r="C23" s="28" t="s">
        <v>35</v>
      </c>
      <c r="D23" s="49">
        <f t="shared" ref="D23:E23" si="73">D22</f>
        <v>18760</v>
      </c>
      <c r="E23" s="50">
        <f t="shared" si="73"/>
        <v>18558</v>
      </c>
      <c r="F23" s="60">
        <f t="shared" si="0"/>
        <v>37318</v>
      </c>
      <c r="G23" s="61"/>
      <c r="H23" s="61"/>
      <c r="I23" s="52">
        <f t="shared" si="59"/>
        <v>0</v>
      </c>
      <c r="J23" s="61"/>
      <c r="K23" s="61"/>
      <c r="L23" s="53">
        <f t="shared" si="60"/>
        <v>0</v>
      </c>
      <c r="M23" s="54">
        <f t="shared" ref="M23:N23" si="74">SUM(G23,J23)</f>
        <v>0</v>
      </c>
      <c r="N23" s="54">
        <f t="shared" si="74"/>
        <v>0</v>
      </c>
      <c r="O23" s="52">
        <f t="shared" si="62"/>
        <v>0</v>
      </c>
      <c r="P23" s="55">
        <f t="shared" si="5"/>
        <v>0</v>
      </c>
      <c r="Q23" s="56"/>
      <c r="R23" s="57"/>
      <c r="S23" s="35">
        <f t="shared" si="63"/>
        <v>0</v>
      </c>
      <c r="T23" s="58" t="e">
        <f t="shared" si="7"/>
        <v>#DIV/0!</v>
      </c>
      <c r="U23" s="83">
        <f ca="1">IFERROR(__xludf.DUMMYFUNCTION("IMPORTRANGE(""https://docs.google.com/spreadsheets/d/1pY4arJd9Lo41E6tW65SKxpf2-ueaDmwITgkFw9ETzeg/edit#gid=630732817"",""CAPAIAN FKTP PER BULAN PER PUSK!GU22:HC22"")"),0)</f>
        <v>0</v>
      </c>
      <c r="V23" s="42">
        <f ca="1">IFERROR(__xludf.DUMMYFUNCTION("""COMPUTED_VALUE"""),2)</f>
        <v>2</v>
      </c>
      <c r="W23" s="84">
        <f ca="1">IFERROR(__xludf.DUMMYFUNCTION("""COMPUTED_VALUE"""),2)</f>
        <v>2</v>
      </c>
      <c r="X23" s="85">
        <f ca="1">IFERROR(__xludf.DUMMYFUNCTION("""COMPUTED_VALUE"""),0)</f>
        <v>0</v>
      </c>
      <c r="Y23" s="85">
        <f ca="1">IFERROR(__xludf.DUMMYFUNCTION("""COMPUTED_VALUE"""),2)</f>
        <v>2</v>
      </c>
      <c r="Z23" s="84">
        <f ca="1">IFERROR(__xludf.DUMMYFUNCTION("""COMPUTED_VALUE"""),2)</f>
        <v>2</v>
      </c>
      <c r="AA23" s="86">
        <f ca="1">IFERROR(__xludf.DUMMYFUNCTION("""COMPUTED_VALUE"""),0)</f>
        <v>0</v>
      </c>
      <c r="AB23" s="86">
        <f ca="1">IFERROR(__xludf.DUMMYFUNCTION("""COMPUTED_VALUE"""),4)</f>
        <v>4</v>
      </c>
      <c r="AC23" s="84">
        <f ca="1">IFERROR(__xludf.DUMMYFUNCTION("""COMPUTED_VALUE"""),4)</f>
        <v>4</v>
      </c>
      <c r="AD23" s="87">
        <f t="shared" ca="1" si="8"/>
        <v>1.0718688032584812E-2</v>
      </c>
      <c r="AE23" s="86">
        <f ca="1">IFERROR(__xludf.DUMMYFUNCTION("IMPORTRANGE(""https://docs.google.com/spreadsheets/d/1pY4arJd9Lo41E6tW65SKxpf2-ueaDmwITgkFw9ETzeg/edit#gid=630732817"",""CAPAIAN FKTP PER BULAN PER PUSK!HD22:HE22"")"),0)</f>
        <v>0</v>
      </c>
      <c r="AF23" s="86">
        <f ca="1">IFERROR(__xludf.DUMMYFUNCTION("""COMPUTED_VALUE"""),0)</f>
        <v>0</v>
      </c>
      <c r="AG23" s="86">
        <f t="shared" ca="1" si="64"/>
        <v>0</v>
      </c>
      <c r="AH23" s="87">
        <f t="shared" ca="1" si="10"/>
        <v>0</v>
      </c>
      <c r="AI23" s="35">
        <f t="shared" ref="AI23:AJ23" ca="1" si="75">SUM(AA23,M23)</f>
        <v>0</v>
      </c>
      <c r="AJ23" s="35">
        <f t="shared" ca="1" si="75"/>
        <v>4</v>
      </c>
      <c r="AK23" s="52">
        <f t="shared" ca="1" si="66"/>
        <v>4</v>
      </c>
      <c r="AL23" s="55">
        <f t="shared" ca="1" si="13"/>
        <v>1.0718688032584812E-2</v>
      </c>
      <c r="AM23" s="59">
        <f t="shared" ref="AM23:AN23" ca="1" si="76">SUM(AE23,Q23)</f>
        <v>0</v>
      </c>
      <c r="AN23" s="35">
        <f t="shared" ca="1" si="76"/>
        <v>0</v>
      </c>
      <c r="AO23" s="35">
        <f t="shared" ca="1" si="68"/>
        <v>0</v>
      </c>
      <c r="AP23" s="58">
        <f t="shared" ca="1" si="16"/>
        <v>0</v>
      </c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</row>
    <row r="24" spans="2:55" ht="15.75" customHeight="1" x14ac:dyDescent="0.2">
      <c r="B24" s="63">
        <v>12</v>
      </c>
      <c r="C24" s="64" t="s">
        <v>36</v>
      </c>
      <c r="D24" s="65">
        <f t="shared" ref="D24:E24" si="77">D23</f>
        <v>18760</v>
      </c>
      <c r="E24" s="66">
        <f t="shared" si="77"/>
        <v>18558</v>
      </c>
      <c r="F24" s="67">
        <f t="shared" si="0"/>
        <v>37318</v>
      </c>
      <c r="G24" s="68">
        <f t="shared" ref="G24:O24" si="78">SUM(G21:G23)</f>
        <v>0</v>
      </c>
      <c r="H24" s="69">
        <f t="shared" si="78"/>
        <v>0</v>
      </c>
      <c r="I24" s="70">
        <f t="shared" si="78"/>
        <v>0</v>
      </c>
      <c r="J24" s="68">
        <f t="shared" si="78"/>
        <v>0</v>
      </c>
      <c r="K24" s="68">
        <f t="shared" si="78"/>
        <v>0</v>
      </c>
      <c r="L24" s="71">
        <f t="shared" si="78"/>
        <v>0</v>
      </c>
      <c r="M24" s="72">
        <f t="shared" si="78"/>
        <v>0</v>
      </c>
      <c r="N24" s="72">
        <f t="shared" si="78"/>
        <v>0</v>
      </c>
      <c r="O24" s="70">
        <f t="shared" si="78"/>
        <v>0</v>
      </c>
      <c r="P24" s="73">
        <f t="shared" si="5"/>
        <v>0</v>
      </c>
      <c r="Q24" s="74">
        <f t="shared" ref="Q24:S24" si="79">SUM(Q21:Q23)</f>
        <v>0</v>
      </c>
      <c r="R24" s="75">
        <f t="shared" si="79"/>
        <v>0</v>
      </c>
      <c r="S24" s="75">
        <f t="shared" si="79"/>
        <v>0</v>
      </c>
      <c r="T24" s="76" t="e">
        <f t="shared" si="7"/>
        <v>#DIV/0!</v>
      </c>
      <c r="U24" s="77">
        <f t="shared" ref="U24:AC24" ca="1" si="80">SUM(U21:U23)</f>
        <v>97</v>
      </c>
      <c r="V24" s="78">
        <f t="shared" ca="1" si="80"/>
        <v>181</v>
      </c>
      <c r="W24" s="79">
        <f t="shared" ca="1" si="80"/>
        <v>278</v>
      </c>
      <c r="X24" s="80">
        <f t="shared" ca="1" si="80"/>
        <v>47</v>
      </c>
      <c r="Y24" s="80">
        <f t="shared" ca="1" si="80"/>
        <v>94</v>
      </c>
      <c r="Z24" s="79">
        <f t="shared" ca="1" si="80"/>
        <v>141</v>
      </c>
      <c r="AA24" s="80">
        <f t="shared" ca="1" si="80"/>
        <v>144</v>
      </c>
      <c r="AB24" s="80">
        <f t="shared" ca="1" si="80"/>
        <v>275</v>
      </c>
      <c r="AC24" s="79">
        <f t="shared" ca="1" si="80"/>
        <v>419</v>
      </c>
      <c r="AD24" s="81">
        <f t="shared" ca="1" si="8"/>
        <v>1.1227825714132591</v>
      </c>
      <c r="AE24" s="80">
        <f t="shared" ref="AE24:AG24" ca="1" si="81">SUM(AE21:AE23)</f>
        <v>5</v>
      </c>
      <c r="AF24" s="80">
        <f t="shared" ca="1" si="81"/>
        <v>17</v>
      </c>
      <c r="AG24" s="80">
        <f t="shared" ca="1" si="81"/>
        <v>22</v>
      </c>
      <c r="AH24" s="81">
        <f t="shared" ca="1" si="10"/>
        <v>5.2505966587112169</v>
      </c>
      <c r="AI24" s="72">
        <f t="shared" ref="AI24:AK24" ca="1" si="82">SUM(AI21:AI23)</f>
        <v>144</v>
      </c>
      <c r="AJ24" s="72">
        <f t="shared" ca="1" si="82"/>
        <v>275</v>
      </c>
      <c r="AK24" s="70">
        <f t="shared" ca="1" si="82"/>
        <v>419</v>
      </c>
      <c r="AL24" s="73">
        <f t="shared" ca="1" si="13"/>
        <v>1.1227825714132591</v>
      </c>
      <c r="AM24" s="74">
        <f t="shared" ref="AM24:AO24" ca="1" si="83">SUM(AM21:AM23)</f>
        <v>5</v>
      </c>
      <c r="AN24" s="75">
        <f t="shared" ca="1" si="83"/>
        <v>17</v>
      </c>
      <c r="AO24" s="75">
        <f t="shared" ca="1" si="83"/>
        <v>22</v>
      </c>
      <c r="AP24" s="76">
        <f t="shared" ca="1" si="16"/>
        <v>5.2505966587112169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</row>
    <row r="25" spans="2:55" ht="15.75" customHeight="1" x14ac:dyDescent="0.15">
      <c r="B25" s="27">
        <v>13</v>
      </c>
      <c r="C25" s="28" t="s">
        <v>37</v>
      </c>
      <c r="D25" s="49">
        <f t="shared" ref="D25:E25" si="84">D24</f>
        <v>18760</v>
      </c>
      <c r="E25" s="50">
        <f t="shared" si="84"/>
        <v>18558</v>
      </c>
      <c r="F25" s="60">
        <f t="shared" si="0"/>
        <v>37318</v>
      </c>
      <c r="G25" s="61"/>
      <c r="H25" s="62"/>
      <c r="I25" s="52">
        <f>G25+H25</f>
        <v>0</v>
      </c>
      <c r="J25" s="61"/>
      <c r="K25" s="61"/>
      <c r="L25" s="53">
        <f t="shared" ref="L25:L27" si="85">J25+K25</f>
        <v>0</v>
      </c>
      <c r="M25" s="54">
        <f t="shared" ref="M25:N25" si="86">SUM(G25,J25)</f>
        <v>0</v>
      </c>
      <c r="N25" s="54">
        <f t="shared" si="86"/>
        <v>0</v>
      </c>
      <c r="O25" s="52">
        <f t="shared" ref="O25:O27" si="87">M25+N25</f>
        <v>0</v>
      </c>
      <c r="P25" s="55">
        <f t="shared" si="5"/>
        <v>0</v>
      </c>
      <c r="Q25" s="56"/>
      <c r="R25" s="57"/>
      <c r="S25" s="35">
        <f t="shared" ref="S25:S27" si="88">Q25+R25</f>
        <v>0</v>
      </c>
      <c r="T25" s="58" t="e">
        <f t="shared" si="7"/>
        <v>#DIV/0!</v>
      </c>
      <c r="U25" s="83">
        <f ca="1">IFERROR(__xludf.DUMMYFUNCTION("IMPORTRANGE(""https://docs.google.com/spreadsheets/d/1pY4arJd9Lo41E6tW65SKxpf2-ueaDmwITgkFw9ETzeg/edit#gid=630732817"",""CAPAIAN FKTP PER BULAN PER PUSK!HT22:IB22"")"),1)</f>
        <v>1</v>
      </c>
      <c r="V25" s="42">
        <f ca="1">IFERROR(__xludf.DUMMYFUNCTION("""COMPUTED_VALUE"""),0)</f>
        <v>0</v>
      </c>
      <c r="W25" s="84">
        <f ca="1">IFERROR(__xludf.DUMMYFUNCTION("""COMPUTED_VALUE"""),1)</f>
        <v>1</v>
      </c>
      <c r="X25" s="85">
        <f ca="1">IFERROR(__xludf.DUMMYFUNCTION("""COMPUTED_VALUE"""),5)</f>
        <v>5</v>
      </c>
      <c r="Y25" s="85">
        <f ca="1">IFERROR(__xludf.DUMMYFUNCTION("""COMPUTED_VALUE"""),5)</f>
        <v>5</v>
      </c>
      <c r="Z25" s="84">
        <f ca="1">IFERROR(__xludf.DUMMYFUNCTION("""COMPUTED_VALUE"""),10)</f>
        <v>10</v>
      </c>
      <c r="AA25" s="86">
        <f ca="1">IFERROR(__xludf.DUMMYFUNCTION("""COMPUTED_VALUE"""),6)</f>
        <v>6</v>
      </c>
      <c r="AB25" s="86">
        <f ca="1">IFERROR(__xludf.DUMMYFUNCTION("""COMPUTED_VALUE"""),5)</f>
        <v>5</v>
      </c>
      <c r="AC25" s="84">
        <f ca="1">IFERROR(__xludf.DUMMYFUNCTION("""COMPUTED_VALUE"""),11)</f>
        <v>11</v>
      </c>
      <c r="AD25" s="87">
        <f t="shared" ca="1" si="8"/>
        <v>2.9476392089608235E-2</v>
      </c>
      <c r="AE25" s="86">
        <f ca="1">IFERROR(__xludf.DUMMYFUNCTION("IMPORTRANGE(""https://docs.google.com/spreadsheets/d/1pY4arJd9Lo41E6tW65SKxpf2-ueaDmwITgkFw9ETzeg/edit#gid=630732817"",""CAPAIAN FKTP PER BULAN PER PUSK!IC22:ID22"")"),3)</f>
        <v>3</v>
      </c>
      <c r="AF25" s="86">
        <f ca="1">IFERROR(__xludf.DUMMYFUNCTION("""COMPUTED_VALUE"""),5)</f>
        <v>5</v>
      </c>
      <c r="AG25" s="86">
        <f t="shared" ref="AG25:AG27" ca="1" si="89">AE25+AF25</f>
        <v>8</v>
      </c>
      <c r="AH25" s="87">
        <f t="shared" ca="1" si="10"/>
        <v>72.727272727272734</v>
      </c>
      <c r="AI25" s="35">
        <f t="shared" ref="AI25:AJ25" ca="1" si="90">SUM(AA25,M25)</f>
        <v>6</v>
      </c>
      <c r="AJ25" s="35">
        <f t="shared" ca="1" si="90"/>
        <v>5</v>
      </c>
      <c r="AK25" s="52">
        <f t="shared" ref="AK25:AK27" ca="1" si="91">AI25+AJ25</f>
        <v>11</v>
      </c>
      <c r="AL25" s="55">
        <f t="shared" ca="1" si="13"/>
        <v>2.9476392089608235E-2</v>
      </c>
      <c r="AM25" s="59">
        <f t="shared" ref="AM25:AN25" ca="1" si="92">SUM(AE25,Q25)</f>
        <v>3</v>
      </c>
      <c r="AN25" s="35">
        <f t="shared" ca="1" si="92"/>
        <v>5</v>
      </c>
      <c r="AO25" s="35">
        <f t="shared" ref="AO25:AO27" ca="1" si="93">AM25+AN25</f>
        <v>8</v>
      </c>
      <c r="AP25" s="58">
        <f t="shared" ca="1" si="16"/>
        <v>72.727272727272734</v>
      </c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</row>
    <row r="26" spans="2:55" ht="15.75" customHeight="1" x14ac:dyDescent="0.15">
      <c r="B26" s="27">
        <v>14</v>
      </c>
      <c r="C26" s="28" t="s">
        <v>38</v>
      </c>
      <c r="D26" s="49">
        <f t="shared" ref="D26:E26" si="94">D25</f>
        <v>18760</v>
      </c>
      <c r="E26" s="50">
        <f t="shared" si="94"/>
        <v>18558</v>
      </c>
      <c r="F26" s="60">
        <f t="shared" si="0"/>
        <v>37318</v>
      </c>
      <c r="G26" s="61"/>
      <c r="H26" s="62"/>
      <c r="I26" s="52">
        <f>G26+H26</f>
        <v>0</v>
      </c>
      <c r="J26" s="61"/>
      <c r="K26" s="61"/>
      <c r="L26" s="53">
        <f t="shared" si="85"/>
        <v>0</v>
      </c>
      <c r="M26" s="54">
        <f t="shared" ref="M26:N26" si="95">SUM(G26,J26)</f>
        <v>0</v>
      </c>
      <c r="N26" s="54">
        <f t="shared" si="95"/>
        <v>0</v>
      </c>
      <c r="O26" s="52">
        <f t="shared" si="87"/>
        <v>0</v>
      </c>
      <c r="P26" s="55">
        <f t="shared" si="5"/>
        <v>0</v>
      </c>
      <c r="Q26" s="56"/>
      <c r="R26" s="57"/>
      <c r="S26" s="35">
        <f t="shared" si="88"/>
        <v>0</v>
      </c>
      <c r="T26" s="58" t="e">
        <f t="shared" si="7"/>
        <v>#DIV/0!</v>
      </c>
      <c r="U26" s="83">
        <f ca="1">IFERROR(__xludf.DUMMYFUNCTION("IMPORTRANGE(""https://docs.google.com/spreadsheets/d/1pY4arJd9Lo41E6tW65SKxpf2-ueaDmwITgkFw9ETzeg/edit#gid=630732817"",""CAPAIAN FKTP PER BULAN PER PUSK!IS22:JA22"")"),0)</f>
        <v>0</v>
      </c>
      <c r="V26" s="42">
        <f ca="1">IFERROR(__xludf.DUMMYFUNCTION("""COMPUTED_VALUE"""),1)</f>
        <v>1</v>
      </c>
      <c r="W26" s="84">
        <f ca="1">IFERROR(__xludf.DUMMYFUNCTION("""COMPUTED_VALUE"""),1)</f>
        <v>1</v>
      </c>
      <c r="X26" s="85">
        <f ca="1">IFERROR(__xludf.DUMMYFUNCTION("""COMPUTED_VALUE"""),0)</f>
        <v>0</v>
      </c>
      <c r="Y26" s="85">
        <f ca="1">IFERROR(__xludf.DUMMYFUNCTION("""COMPUTED_VALUE"""),2)</f>
        <v>2</v>
      </c>
      <c r="Z26" s="84">
        <f ca="1">IFERROR(__xludf.DUMMYFUNCTION("""COMPUTED_VALUE"""),2)</f>
        <v>2</v>
      </c>
      <c r="AA26" s="86">
        <f ca="1">IFERROR(__xludf.DUMMYFUNCTION("""COMPUTED_VALUE"""),0)</f>
        <v>0</v>
      </c>
      <c r="AB26" s="86">
        <f ca="1">IFERROR(__xludf.DUMMYFUNCTION("""COMPUTED_VALUE"""),3)</f>
        <v>3</v>
      </c>
      <c r="AC26" s="84">
        <f ca="1">IFERROR(__xludf.DUMMYFUNCTION("""COMPUTED_VALUE"""),3)</f>
        <v>3</v>
      </c>
      <c r="AD26" s="87">
        <f t="shared" ca="1" si="8"/>
        <v>8.0390160244386086E-3</v>
      </c>
      <c r="AE26" s="86">
        <f ca="1">IFERROR(__xludf.DUMMYFUNCTION("IMPORTRANGE(""https://docs.google.com/spreadsheets/d/1pY4arJd9Lo41E6tW65SKxpf2-ueaDmwITgkFw9ETzeg/edit#gid=630732817"",""CAPAIAN FKTP PER BULAN PER PUSK!JB22:JC22"")"),0)</f>
        <v>0</v>
      </c>
      <c r="AF26" s="86">
        <f ca="1">IFERROR(__xludf.DUMMYFUNCTION("""COMPUTED_VALUE"""),1)</f>
        <v>1</v>
      </c>
      <c r="AG26" s="86">
        <f t="shared" ca="1" si="89"/>
        <v>1</v>
      </c>
      <c r="AH26" s="87">
        <f t="shared" ca="1" si="10"/>
        <v>33.333333333333329</v>
      </c>
      <c r="AI26" s="35">
        <f t="shared" ref="AI26:AJ26" ca="1" si="96">SUM(AA26,M26)</f>
        <v>0</v>
      </c>
      <c r="AJ26" s="35">
        <f t="shared" ca="1" si="96"/>
        <v>3</v>
      </c>
      <c r="AK26" s="52">
        <f t="shared" ca="1" si="91"/>
        <v>3</v>
      </c>
      <c r="AL26" s="55">
        <f t="shared" ca="1" si="13"/>
        <v>8.0390160244386086E-3</v>
      </c>
      <c r="AM26" s="59">
        <f t="shared" ref="AM26:AN26" ca="1" si="97">SUM(AE26,Q26)</f>
        <v>0</v>
      </c>
      <c r="AN26" s="35">
        <f t="shared" ca="1" si="97"/>
        <v>1</v>
      </c>
      <c r="AO26" s="35">
        <f t="shared" ca="1" si="93"/>
        <v>1</v>
      </c>
      <c r="AP26" s="58">
        <f t="shared" ca="1" si="16"/>
        <v>33.333333333333329</v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</row>
    <row r="27" spans="2:55" ht="15.75" customHeight="1" x14ac:dyDescent="0.15">
      <c r="B27" s="27">
        <v>15</v>
      </c>
      <c r="C27" s="28" t="s">
        <v>39</v>
      </c>
      <c r="D27" s="49">
        <f t="shared" ref="D27:E27" si="98">D26</f>
        <v>18760</v>
      </c>
      <c r="E27" s="50">
        <f t="shared" si="98"/>
        <v>18558</v>
      </c>
      <c r="F27" s="60">
        <f t="shared" si="0"/>
        <v>37318</v>
      </c>
      <c r="G27" s="61"/>
      <c r="H27" s="62"/>
      <c r="I27" s="52">
        <f>G27+H27</f>
        <v>0</v>
      </c>
      <c r="J27" s="61"/>
      <c r="K27" s="61"/>
      <c r="L27" s="53">
        <f t="shared" si="85"/>
        <v>0</v>
      </c>
      <c r="M27" s="54">
        <f t="shared" ref="M27:N27" si="99">SUM(G27,J27)</f>
        <v>0</v>
      </c>
      <c r="N27" s="54">
        <f t="shared" si="99"/>
        <v>0</v>
      </c>
      <c r="O27" s="52">
        <f t="shared" si="87"/>
        <v>0</v>
      </c>
      <c r="P27" s="55">
        <f t="shared" si="5"/>
        <v>0</v>
      </c>
      <c r="Q27" s="56"/>
      <c r="R27" s="57"/>
      <c r="S27" s="35">
        <f t="shared" si="88"/>
        <v>0</v>
      </c>
      <c r="T27" s="58" t="e">
        <f t="shared" si="7"/>
        <v>#DIV/0!</v>
      </c>
      <c r="U27" s="83">
        <f ca="1">IFERROR(__xludf.DUMMYFUNCTION("IMPORTRANGE(""https://docs.google.com/spreadsheets/d/1pY4arJd9Lo41E6tW65SKxpf2-ueaDmwITgkFw9ETzeg/edit#gid=630732817"",""CAPAIAN FKTP PER BULAN PER PUSK!JR22:JZ22"")"),0)</f>
        <v>0</v>
      </c>
      <c r="V27" s="42">
        <f ca="1">IFERROR(__xludf.DUMMYFUNCTION("""COMPUTED_VALUE"""),0)</f>
        <v>0</v>
      </c>
      <c r="W27" s="84">
        <f ca="1">IFERROR(__xludf.DUMMYFUNCTION("""COMPUTED_VALUE"""),0)</f>
        <v>0</v>
      </c>
      <c r="X27" s="85">
        <f ca="1">IFERROR(__xludf.DUMMYFUNCTION("""COMPUTED_VALUE"""),1)</f>
        <v>1</v>
      </c>
      <c r="Y27" s="85">
        <f ca="1">IFERROR(__xludf.DUMMYFUNCTION("""COMPUTED_VALUE"""),9)</f>
        <v>9</v>
      </c>
      <c r="Z27" s="84">
        <f ca="1">IFERROR(__xludf.DUMMYFUNCTION("""COMPUTED_VALUE"""),10)</f>
        <v>10</v>
      </c>
      <c r="AA27" s="86">
        <f ca="1">IFERROR(__xludf.DUMMYFUNCTION("""COMPUTED_VALUE"""),1)</f>
        <v>1</v>
      </c>
      <c r="AB27" s="86">
        <f ca="1">IFERROR(__xludf.DUMMYFUNCTION("""COMPUTED_VALUE"""),9)</f>
        <v>9</v>
      </c>
      <c r="AC27" s="84">
        <f ca="1">IFERROR(__xludf.DUMMYFUNCTION("""COMPUTED_VALUE"""),10)</f>
        <v>10</v>
      </c>
      <c r="AD27" s="87">
        <f t="shared" ca="1" si="8"/>
        <v>2.6796720081462028E-2</v>
      </c>
      <c r="AE27" s="86">
        <f ca="1">IFERROR(__xludf.DUMMYFUNCTION("IMPORTRANGE(""https://docs.google.com/spreadsheets/d/1pY4arJd9Lo41E6tW65SKxpf2-ueaDmwITgkFw9ETzeg/edit#gid=630732817"",""CAPAIAN FKTP PER BULAN PER PUSK!KA22:KB22"")"),0)</f>
        <v>0</v>
      </c>
      <c r="AF27" s="86">
        <f ca="1">IFERROR(__xludf.DUMMYFUNCTION("""COMPUTED_VALUE"""),6)</f>
        <v>6</v>
      </c>
      <c r="AG27" s="86">
        <f t="shared" ca="1" si="89"/>
        <v>6</v>
      </c>
      <c r="AH27" s="87">
        <f t="shared" ca="1" si="10"/>
        <v>60</v>
      </c>
      <c r="AI27" s="35">
        <f t="shared" ref="AI27:AJ27" ca="1" si="100">SUM(AA27,M27)</f>
        <v>1</v>
      </c>
      <c r="AJ27" s="35">
        <f t="shared" ca="1" si="100"/>
        <v>9</v>
      </c>
      <c r="AK27" s="52">
        <f t="shared" ca="1" si="91"/>
        <v>10</v>
      </c>
      <c r="AL27" s="55">
        <f t="shared" ca="1" si="13"/>
        <v>2.6796720081462028E-2</v>
      </c>
      <c r="AM27" s="59">
        <f t="shared" ref="AM27:AN27" ca="1" si="101">SUM(AE27,Q27)</f>
        <v>0</v>
      </c>
      <c r="AN27" s="35">
        <f t="shared" ca="1" si="101"/>
        <v>6</v>
      </c>
      <c r="AO27" s="35">
        <f t="shared" ca="1" si="93"/>
        <v>6</v>
      </c>
      <c r="AP27" s="58">
        <f t="shared" ca="1" si="16"/>
        <v>60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</row>
    <row r="28" spans="2:55" ht="15.75" customHeight="1" x14ac:dyDescent="0.2">
      <c r="B28" s="88">
        <v>16</v>
      </c>
      <c r="C28" s="89" t="s">
        <v>40</v>
      </c>
      <c r="D28" s="90">
        <f t="shared" ref="D28:E28" si="102">D27</f>
        <v>18760</v>
      </c>
      <c r="E28" s="91">
        <f t="shared" si="102"/>
        <v>18558</v>
      </c>
      <c r="F28" s="92">
        <f t="shared" si="0"/>
        <v>37318</v>
      </c>
      <c r="G28" s="93">
        <f t="shared" ref="G28:O28" si="103">SUM(G25:G27)</f>
        <v>0</v>
      </c>
      <c r="H28" s="94">
        <f t="shared" si="103"/>
        <v>0</v>
      </c>
      <c r="I28" s="95">
        <f t="shared" si="103"/>
        <v>0</v>
      </c>
      <c r="J28" s="93">
        <f t="shared" si="103"/>
        <v>0</v>
      </c>
      <c r="K28" s="93">
        <f t="shared" si="103"/>
        <v>0</v>
      </c>
      <c r="L28" s="96">
        <f t="shared" si="103"/>
        <v>0</v>
      </c>
      <c r="M28" s="97">
        <f t="shared" si="103"/>
        <v>0</v>
      </c>
      <c r="N28" s="97">
        <f t="shared" si="103"/>
        <v>0</v>
      </c>
      <c r="O28" s="95">
        <f t="shared" si="103"/>
        <v>0</v>
      </c>
      <c r="P28" s="98">
        <f t="shared" si="5"/>
        <v>0</v>
      </c>
      <c r="Q28" s="99">
        <f t="shared" ref="Q28:S28" si="104">SUM(Q25:Q27)</f>
        <v>0</v>
      </c>
      <c r="R28" s="100">
        <f t="shared" si="104"/>
        <v>0</v>
      </c>
      <c r="S28" s="100">
        <f t="shared" si="104"/>
        <v>0</v>
      </c>
      <c r="T28" s="101" t="e">
        <f t="shared" si="7"/>
        <v>#DIV/0!</v>
      </c>
      <c r="U28" s="102">
        <f t="shared" ref="U28:AC28" ca="1" si="105">SUM(U25:U27)</f>
        <v>1</v>
      </c>
      <c r="V28" s="103">
        <f t="shared" ca="1" si="105"/>
        <v>1</v>
      </c>
      <c r="W28" s="104">
        <f t="shared" ca="1" si="105"/>
        <v>2</v>
      </c>
      <c r="X28" s="105">
        <f t="shared" ca="1" si="105"/>
        <v>6</v>
      </c>
      <c r="Y28" s="105">
        <f t="shared" ca="1" si="105"/>
        <v>16</v>
      </c>
      <c r="Z28" s="104">
        <f t="shared" ca="1" si="105"/>
        <v>22</v>
      </c>
      <c r="AA28" s="105">
        <f t="shared" ca="1" si="105"/>
        <v>7</v>
      </c>
      <c r="AB28" s="105">
        <f t="shared" ca="1" si="105"/>
        <v>17</v>
      </c>
      <c r="AC28" s="104">
        <f t="shared" ca="1" si="105"/>
        <v>24</v>
      </c>
      <c r="AD28" s="106">
        <f t="shared" ca="1" si="8"/>
        <v>6.4312128195508869E-2</v>
      </c>
      <c r="AE28" s="105">
        <f t="shared" ref="AE28:AG28" ca="1" si="106">SUM(AE25:AE27)</f>
        <v>3</v>
      </c>
      <c r="AF28" s="105">
        <f t="shared" ca="1" si="106"/>
        <v>12</v>
      </c>
      <c r="AG28" s="105">
        <f t="shared" ca="1" si="106"/>
        <v>15</v>
      </c>
      <c r="AH28" s="106">
        <f t="shared" ca="1" si="10"/>
        <v>62.5</v>
      </c>
      <c r="AI28" s="97">
        <f t="shared" ref="AI28:AK28" ca="1" si="107">SUM(AI25:AI27)</f>
        <v>7</v>
      </c>
      <c r="AJ28" s="97">
        <f t="shared" ca="1" si="107"/>
        <v>17</v>
      </c>
      <c r="AK28" s="95">
        <f t="shared" ca="1" si="107"/>
        <v>24</v>
      </c>
      <c r="AL28" s="98">
        <f t="shared" ca="1" si="13"/>
        <v>6.4312128195508869E-2</v>
      </c>
      <c r="AM28" s="99">
        <f t="shared" ref="AM28:AO28" ca="1" si="108">SUM(AM25:AM27)</f>
        <v>3</v>
      </c>
      <c r="AN28" s="100">
        <f t="shared" ca="1" si="108"/>
        <v>12</v>
      </c>
      <c r="AO28" s="100">
        <f t="shared" ca="1" si="108"/>
        <v>15</v>
      </c>
      <c r="AP28" s="101">
        <f t="shared" ca="1" si="16"/>
        <v>62.5</v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</row>
    <row r="29" spans="2:55" ht="15.75" customHeight="1" x14ac:dyDescent="0.2">
      <c r="B29" s="128" t="s">
        <v>23</v>
      </c>
      <c r="C29" s="129"/>
      <c r="D29" s="107">
        <f t="shared" ref="D29:F29" si="109">D28</f>
        <v>18760</v>
      </c>
      <c r="E29" s="108">
        <f t="shared" si="109"/>
        <v>18558</v>
      </c>
      <c r="F29" s="109">
        <f t="shared" si="109"/>
        <v>37318</v>
      </c>
      <c r="G29" s="108">
        <f t="shared" ref="G29:O29" si="110">SUM(G28,G24,G20,G16)</f>
        <v>619</v>
      </c>
      <c r="H29" s="108">
        <f t="shared" si="110"/>
        <v>1329</v>
      </c>
      <c r="I29" s="108">
        <f t="shared" si="110"/>
        <v>1948</v>
      </c>
      <c r="J29" s="108">
        <f t="shared" si="110"/>
        <v>462</v>
      </c>
      <c r="K29" s="108">
        <f t="shared" si="110"/>
        <v>1414</v>
      </c>
      <c r="L29" s="108">
        <f t="shared" si="110"/>
        <v>1876</v>
      </c>
      <c r="M29" s="108">
        <f t="shared" si="110"/>
        <v>1081</v>
      </c>
      <c r="N29" s="108">
        <f t="shared" si="110"/>
        <v>2743</v>
      </c>
      <c r="O29" s="108">
        <f t="shared" si="110"/>
        <v>3824</v>
      </c>
      <c r="P29" s="110">
        <f t="shared" si="5"/>
        <v>10.247065759151081</v>
      </c>
      <c r="Q29" s="107">
        <f t="shared" ref="Q29:S29" si="111">SUM(Q28,Q24,Q20,Q16)</f>
        <v>481</v>
      </c>
      <c r="R29" s="108">
        <f t="shared" si="111"/>
        <v>1109</v>
      </c>
      <c r="S29" s="108">
        <f t="shared" si="111"/>
        <v>1590</v>
      </c>
      <c r="T29" s="111">
        <f t="shared" si="7"/>
        <v>41.579497907949794</v>
      </c>
      <c r="U29" s="112">
        <f t="shared" ref="U29:AC29" ca="1" si="112">SUM(U28,U24,U20,U16)</f>
        <v>413</v>
      </c>
      <c r="V29" s="113">
        <f t="shared" ca="1" si="112"/>
        <v>696</v>
      </c>
      <c r="W29" s="113">
        <f t="shared" ca="1" si="112"/>
        <v>1109</v>
      </c>
      <c r="X29" s="113">
        <f t="shared" ca="1" si="112"/>
        <v>270</v>
      </c>
      <c r="Y29" s="113">
        <f t="shared" ca="1" si="112"/>
        <v>433</v>
      </c>
      <c r="Z29" s="113">
        <f t="shared" ca="1" si="112"/>
        <v>703</v>
      </c>
      <c r="AA29" s="113">
        <f t="shared" ca="1" si="112"/>
        <v>683</v>
      </c>
      <c r="AB29" s="113">
        <f t="shared" ca="1" si="112"/>
        <v>1129</v>
      </c>
      <c r="AC29" s="113">
        <f t="shared" ca="1" si="112"/>
        <v>1812</v>
      </c>
      <c r="AD29" s="114">
        <f t="shared" ca="1" si="8"/>
        <v>4.8555656787609198</v>
      </c>
      <c r="AE29" s="113">
        <f t="shared" ref="AE29:AG29" ca="1" si="113">SUM(AE28,AE24,AE20,AE16)</f>
        <v>47</v>
      </c>
      <c r="AF29" s="113">
        <f t="shared" ca="1" si="113"/>
        <v>85</v>
      </c>
      <c r="AG29" s="113">
        <f t="shared" ca="1" si="113"/>
        <v>132</v>
      </c>
      <c r="AH29" s="114">
        <f t="shared" ca="1" si="10"/>
        <v>7.2847682119205297</v>
      </c>
      <c r="AI29" s="108">
        <f t="shared" ref="AI29:AK29" ca="1" si="114">SUM(AI28,AI24,AI20,AI16)</f>
        <v>1764</v>
      </c>
      <c r="AJ29" s="108">
        <f t="shared" ca="1" si="114"/>
        <v>3872</v>
      </c>
      <c r="AK29" s="108">
        <f t="shared" ca="1" si="114"/>
        <v>5636</v>
      </c>
      <c r="AL29" s="110">
        <f t="shared" ca="1" si="13"/>
        <v>15.102631437912001</v>
      </c>
      <c r="AM29" s="107">
        <f t="shared" ref="AM29:AO29" ca="1" si="115">SUM(AM28,AM24,AM20,AM16)</f>
        <v>528</v>
      </c>
      <c r="AN29" s="108">
        <f t="shared" ca="1" si="115"/>
        <v>1194</v>
      </c>
      <c r="AO29" s="108">
        <f t="shared" ca="1" si="115"/>
        <v>1722</v>
      </c>
      <c r="AP29" s="111">
        <f t="shared" ca="1" si="16"/>
        <v>30.553584102200144</v>
      </c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</row>
    <row r="30" spans="2:55" ht="15.75" customHeight="1" x14ac:dyDescent="0.15"/>
    <row r="31" spans="2:55" ht="15.75" customHeight="1" x14ac:dyDescent="0.15"/>
    <row r="32" spans="2:5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7">
    <mergeCell ref="AA8:AD8"/>
    <mergeCell ref="AE8:AH8"/>
    <mergeCell ref="AI8:AL8"/>
    <mergeCell ref="AM8:AP8"/>
    <mergeCell ref="Q8:T8"/>
    <mergeCell ref="AI10:AP10"/>
    <mergeCell ref="B1:C4"/>
    <mergeCell ref="D1:F6"/>
    <mergeCell ref="N2:S5"/>
    <mergeCell ref="B6:C6"/>
    <mergeCell ref="B7:B9"/>
    <mergeCell ref="C7:C9"/>
    <mergeCell ref="D7:T7"/>
    <mergeCell ref="B10:B12"/>
    <mergeCell ref="C10:C12"/>
    <mergeCell ref="U7:AH7"/>
    <mergeCell ref="AI7:AP7"/>
    <mergeCell ref="J8:L8"/>
    <mergeCell ref="M8:P8"/>
    <mergeCell ref="U8:W8"/>
    <mergeCell ref="X8:Z8"/>
    <mergeCell ref="B29:C29"/>
    <mergeCell ref="AE11:AH11"/>
    <mergeCell ref="AI11:AL11"/>
    <mergeCell ref="AM11:AP11"/>
    <mergeCell ref="D8:F8"/>
    <mergeCell ref="G8:I8"/>
    <mergeCell ref="D11:F11"/>
    <mergeCell ref="G11:I11"/>
    <mergeCell ref="J11:L11"/>
    <mergeCell ref="M11:P11"/>
    <mergeCell ref="Q11:T11"/>
    <mergeCell ref="U11:W11"/>
    <mergeCell ref="X11:Z11"/>
    <mergeCell ref="AA11:AD11"/>
    <mergeCell ref="D10:T10"/>
    <mergeCell ref="U10:AH10"/>
  </mergeCells>
  <hyperlinks>
    <hyperlink ref="B1" location="HOME!A1" display="                   Kembali ke Pilihan Program" xr:uid="{00000000-0004-0000-0100-000000000000}"/>
    <hyperlink ref="U7" r:id="rId1" location="gid=585569401" xr:uid="{00000000-0004-0000-0100-000001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5" t="s">
        <v>51</v>
      </c>
      <c r="B1" s="156"/>
      <c r="C1" s="117"/>
      <c r="D1" s="117"/>
      <c r="E1" s="117"/>
      <c r="F1" s="117"/>
      <c r="G1" s="117"/>
      <c r="H1" s="11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57"/>
      <c r="B2" s="158"/>
      <c r="C2" s="118" t="s">
        <v>41</v>
      </c>
      <c r="D2" s="117"/>
      <c r="E2" s="117"/>
      <c r="F2" s="117"/>
      <c r="G2" s="117"/>
      <c r="H2" s="11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59"/>
      <c r="B3" s="160"/>
      <c r="C3" s="118" t="s">
        <v>42</v>
      </c>
      <c r="D3" s="117"/>
      <c r="E3" s="117"/>
      <c r="F3" s="117"/>
      <c r="G3" s="117"/>
      <c r="H3" s="11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6" t="s">
        <v>52</v>
      </c>
      <c r="B4" s="167"/>
      <c r="C4" s="117"/>
      <c r="D4" s="117"/>
      <c r="E4" s="117"/>
      <c r="F4" s="117"/>
      <c r="G4" s="117"/>
      <c r="H4" s="11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19"/>
      <c r="B6" s="177" t="s">
        <v>53</v>
      </c>
      <c r="C6" s="180" t="s">
        <v>43</v>
      </c>
      <c r="D6" s="143"/>
      <c r="E6" s="143"/>
      <c r="F6" s="143"/>
      <c r="G6" s="143"/>
      <c r="H6" s="143"/>
      <c r="I6" s="181"/>
      <c r="J6" s="119"/>
      <c r="K6" s="119"/>
      <c r="L6" s="119"/>
      <c r="M6" s="119"/>
      <c r="N6" s="119"/>
      <c r="O6" s="119"/>
      <c r="P6" s="119"/>
      <c r="Q6" s="119"/>
    </row>
    <row r="7" spans="1:19" ht="45" x14ac:dyDescent="0.2">
      <c r="A7" s="120"/>
      <c r="B7" s="178"/>
      <c r="C7" s="121" t="s">
        <v>44</v>
      </c>
      <c r="D7" s="121" t="s">
        <v>45</v>
      </c>
      <c r="E7" s="121" t="s">
        <v>46</v>
      </c>
      <c r="F7" s="121" t="s">
        <v>47</v>
      </c>
      <c r="G7" s="121" t="s">
        <v>48</v>
      </c>
      <c r="H7" s="121" t="s">
        <v>49</v>
      </c>
      <c r="I7" s="121" t="s">
        <v>50</v>
      </c>
      <c r="J7" s="120"/>
      <c r="K7" s="120"/>
      <c r="L7" s="120"/>
      <c r="M7" s="120"/>
      <c r="N7" s="120"/>
      <c r="O7" s="120"/>
      <c r="P7" s="120"/>
      <c r="Q7" s="120"/>
    </row>
    <row r="8" spans="1:19" x14ac:dyDescent="0.15">
      <c r="A8" s="119"/>
      <c r="B8" s="179"/>
      <c r="C8" s="122">
        <v>1</v>
      </c>
      <c r="D8" s="122">
        <v>2</v>
      </c>
      <c r="E8" s="122">
        <v>3</v>
      </c>
      <c r="F8" s="122">
        <v>4</v>
      </c>
      <c r="G8" s="122">
        <v>5</v>
      </c>
      <c r="H8" s="122">
        <v>6</v>
      </c>
      <c r="I8" s="122">
        <v>7</v>
      </c>
      <c r="J8" s="123"/>
      <c r="K8" s="123"/>
      <c r="L8" s="123"/>
      <c r="M8" s="123"/>
      <c r="N8" s="123"/>
      <c r="O8" s="123"/>
      <c r="P8" s="123"/>
      <c r="Q8" s="119"/>
    </row>
    <row r="9" spans="1:19" ht="14.25" x14ac:dyDescent="0.15">
      <c r="B9" s="124" t="str">
        <f>'SPM-Uspro'!$C$13</f>
        <v>JANUARI</v>
      </c>
      <c r="C9" s="116">
        <f ca="1">IFERROR(__xludf.DUMMYFUNCTION("IMPORTRANGE(""https://docs.google.com/spreadsheets/d/1P0UTisakTE5EAx-MYEjY2DmhSnLNqqRm6P3NrlYXL2I/edit#gid=1892753874"",""Rekap KTR!$E$6"")"),6)</f>
        <v>6</v>
      </c>
      <c r="D9" s="116">
        <f ca="1">IFERROR(__xludf.DUMMYFUNCTION("IMPORTRANGE(""https://docs.google.com/spreadsheets/d/1P0UTisakTE5EAx-MYEjY2DmhSnLNqqRm6P3NrlYXL2I/edit#gid=1892753874"",""Rekap KTR!$E$7"")"),26)</f>
        <v>26</v>
      </c>
      <c r="E9" s="116">
        <f ca="1">IFERROR(__xludf.DUMMYFUNCTION("IMPORTRANGE(""https://docs.google.com/spreadsheets/d/1P0UTisakTE5EAx-MYEjY2DmhSnLNqqRm6P3NrlYXL2I/edit#gid=1892753874"",""Rekap KTR!$E$8"")"),56)</f>
        <v>56</v>
      </c>
      <c r="F9" s="116">
        <f ca="1">IFERROR(__xludf.DUMMYFUNCTION("IMPORTRANGE(""https://docs.google.com/spreadsheets/d/1P0UTisakTE5EAx-MYEjY2DmhSnLNqqRm6P3NrlYXL2I/edit#gid=1892753874"",""Rekap KTR!$E$9"")"),8)</f>
        <v>8</v>
      </c>
      <c r="G9" s="116">
        <f ca="1">IFERROR(__xludf.DUMMYFUNCTION("IMPORTRANGE(""https://docs.google.com/spreadsheets/d/1P0UTisakTE5EAx-MYEjY2DmhSnLNqqRm6P3NrlYXL2I/edit#gid=1892753874"",""Rekap KTR!$E$10"")"),0)</f>
        <v>0</v>
      </c>
      <c r="H9" s="116">
        <f ca="1">IFERROR(__xludf.DUMMYFUNCTION("IMPORTRANGE(""https://docs.google.com/spreadsheets/d/1P0UTisakTE5EAx-MYEjY2DmhSnLNqqRm6P3NrlYXL2I/edit#gid=1892753874"",""Rekap KTR!$E$11"")"),8)</f>
        <v>8</v>
      </c>
      <c r="I9" s="11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24" t="str">
        <f>'SPM-Uspro'!$C$14</f>
        <v>FEBRUARI</v>
      </c>
      <c r="C10" s="116">
        <f ca="1">IFERROR(__xludf.DUMMYFUNCTION("IMPORTRANGE(""https://docs.google.com/spreadsheets/d/1jB-UnyPBzGq1HOZkIVtft_Wo28OEKcZNsVgS5r_boTE/edit#gid=1522333227"",""Rekap KTR!$E$6"")"),12)</f>
        <v>12</v>
      </c>
      <c r="D10" s="116">
        <f ca="1">IFERROR(__xludf.DUMMYFUNCTION("IMPORTRANGE(""https://docs.google.com/spreadsheets/d/1jB-UnyPBzGq1HOZkIVtft_Wo28OEKcZNsVgS5r_boTE/edit#gid=1522333227"",""Rekap KTR!$E$7"")"),53)</f>
        <v>53</v>
      </c>
      <c r="E10" s="116">
        <f ca="1">IFERROR(__xludf.DUMMYFUNCTION("IMPORTRANGE(""https://docs.google.com/spreadsheets/d/1jB-UnyPBzGq1HOZkIVtft_Wo28OEKcZNsVgS5r_boTE/edit#gid=1522333227"",""Rekap KTR!$E$8"")"),56)</f>
        <v>56</v>
      </c>
      <c r="F10" s="116" t="str">
        <f ca="1">IFERROR(__xludf.DUMMYFUNCTION("IMPORTRANGE(""https://docs.google.com/spreadsheets/d/1jB-UnyPBzGq1HOZkIVtft_Wo28OEKcZNsVgS5r_boTE/edit#gid=1522333227"",""Rekap KTR!$E$9"")"),"")</f>
        <v/>
      </c>
      <c r="G10" s="116">
        <f ca="1">IFERROR(__xludf.DUMMYFUNCTION("IMPORTRANGE(""https://docs.google.com/spreadsheets/d/1jB-UnyPBzGq1HOZkIVtft_Wo28OEKcZNsVgS5r_boTE/edit#gid=1522333227"",""Rekap KTR!$E$10"")"),0)</f>
        <v>0</v>
      </c>
      <c r="H10" s="116" t="str">
        <f ca="1">IFERROR(__xludf.DUMMYFUNCTION("IMPORTRANGE(""https://docs.google.com/spreadsheets/d/1jB-UnyPBzGq1HOZkIVtft_Wo28OEKcZNsVgS5r_boTE/edit#gid=1522333227"",""Rekap KTR!$E$11"")"),"")</f>
        <v/>
      </c>
      <c r="I10" s="11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24" t="str">
        <f>'SPM-Uspro'!$C$15</f>
        <v>MARET</v>
      </c>
      <c r="C11" s="116">
        <f ca="1">IFERROR(__xludf.DUMMYFUNCTION("IMPORTRANGE(""https://docs.google.com/spreadsheets/d/1gHFrRpJ5fnyxfJI-jxT5z1B1L7rSV8E5sIZEN90Rfhc/edit#gid=1522333227"",""Rekap KTR!$E$6"")"),4)</f>
        <v>4</v>
      </c>
      <c r="D11" s="116">
        <f ca="1">IFERROR(__xludf.DUMMYFUNCTION("IMPORTRANGE(""https://docs.google.com/spreadsheets/d/1gHFrRpJ5fnyxfJI-jxT5z1B1L7rSV8E5sIZEN90Rfhc/edit#gid=1522333227"",""Rekap KTR!$E$7"")"),29)</f>
        <v>29</v>
      </c>
      <c r="E11" s="116">
        <f ca="1">IFERROR(__xludf.DUMMYFUNCTION("IMPORTRANGE(""https://docs.google.com/spreadsheets/d/1gHFrRpJ5fnyxfJI-jxT5z1B1L7rSV8E5sIZEN90Rfhc/edit#gid=1522333227"",""Rekap KTR!$E$8"")"),31)</f>
        <v>31</v>
      </c>
      <c r="F11" s="116" t="str">
        <f ca="1">IFERROR(__xludf.DUMMYFUNCTION("IMPORTRANGE(""https://docs.google.com/spreadsheets/d/1gHFrRpJ5fnyxfJI-jxT5z1B1L7rSV8E5sIZEN90Rfhc/edit#gid=1522333227"",""Rekap KTR!$E$9"")"),"")</f>
        <v/>
      </c>
      <c r="G11" s="116" t="str">
        <f ca="1">IFERROR(__xludf.DUMMYFUNCTION("IMPORTRANGE(""https://docs.google.com/spreadsheets/d/1gHFrRpJ5fnyxfJI-jxT5z1B1L7rSV8E5sIZEN90Rfhc/edit#gid=1522333227"",""Rekap KTR!$E$10"")"),"")</f>
        <v/>
      </c>
      <c r="H11" s="116" t="str">
        <f ca="1">IFERROR(__xludf.DUMMYFUNCTION("IMPORTRANGE(""https://docs.google.com/spreadsheets/d/1gHFrRpJ5fnyxfJI-jxT5z1B1L7rSV8E5sIZEN90Rfhc/edit#gid=1522333227"",""Rekap KTR!$E$11"")"),"")</f>
        <v/>
      </c>
      <c r="I11" s="11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24" t="str">
        <f>'SPM-Uspro'!$C$16</f>
        <v>TRIBULAN 1</v>
      </c>
      <c r="C12" s="116">
        <f ca="1">IFERROR(__xludf.DUMMYFUNCTION("IMPORTRANGE(""https://docs.google.com/spreadsheets/d/1saC2UP2JuYJ7WRPxjh8EMf_BSfGZ18Ous8sVKGLr-Ng/edit#gid=1892753874"",""Rekap KTR!$E$6"")"),8)</f>
        <v>8</v>
      </c>
      <c r="D12" s="116">
        <f ca="1">IFERROR(__xludf.DUMMYFUNCTION("IMPORTRANGE(""https://docs.google.com/spreadsheets/d/1saC2UP2JuYJ7WRPxjh8EMf_BSfGZ18Ous8sVKGLr-Ng/edit#gid=1892753874"",""Rekap KTR!$E$7"")"),41)</f>
        <v>41</v>
      </c>
      <c r="E12" s="116">
        <f ca="1">IFERROR(__xludf.DUMMYFUNCTION("IMPORTRANGE(""https://docs.google.com/spreadsheets/d/1saC2UP2JuYJ7WRPxjh8EMf_BSfGZ18Ous8sVKGLr-Ng/edit#gid=1892753874"",""Rekap KTR!$E$8"")"),41)</f>
        <v>41</v>
      </c>
      <c r="F12" s="116">
        <f ca="1">IFERROR(__xludf.DUMMYFUNCTION("IMPORTRANGE(""https://docs.google.com/spreadsheets/d/1saC2UP2JuYJ7WRPxjh8EMf_BSfGZ18Ous8sVKGLr-Ng/edit#gid=1892753874"",""Rekap KTR!$E$9"")"),14)</f>
        <v>14</v>
      </c>
      <c r="G12" s="116">
        <f ca="1">IFERROR(__xludf.DUMMYFUNCTION("IMPORTRANGE(""https://docs.google.com/spreadsheets/d/1saC2UP2JuYJ7WRPxjh8EMf_BSfGZ18Ous8sVKGLr-Ng/edit#gid=1892753874"",""Rekap KTR!$E$10"")"),0)</f>
        <v>0</v>
      </c>
      <c r="H12" s="116">
        <f ca="1">IFERROR(__xludf.DUMMYFUNCTION("IMPORTRANGE(""https://docs.google.com/spreadsheets/d/1saC2UP2JuYJ7WRPxjh8EMf_BSfGZ18Ous8sVKGLr-Ng/edit#gid=1892753874"",""Rekap KTR!$E$11"")"),0)</f>
        <v>0</v>
      </c>
      <c r="I12" s="11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24" t="str">
        <f>'SPM-Uspro'!$C$17</f>
        <v>APRIL</v>
      </c>
      <c r="C13" s="116">
        <f ca="1">IFERROR(__xludf.DUMMYFUNCTION("IMPORTRANGE(""https://docs.google.com/spreadsheets/d/1ApPPV7RPuDI1EDOKjkoDXkV5Yd_NofeQTYTtAHUYGGw/edit#gid=1522333227"",""Rekap KTR!$E$6"")"),3)</f>
        <v>3</v>
      </c>
      <c r="D13" s="116">
        <f ca="1">IFERROR(__xludf.DUMMYFUNCTION("IMPORTRANGE(""https://docs.google.com/spreadsheets/d/1ApPPV7RPuDI1EDOKjkoDXkV5Yd_NofeQTYTtAHUYGGw/edit#gid=1522333227"",""Rekap KTR!$E$7"")"),20)</f>
        <v>20</v>
      </c>
      <c r="E13" s="116">
        <f ca="1">IFERROR(__xludf.DUMMYFUNCTION("IMPORTRANGE(""https://docs.google.com/spreadsheets/d/1ApPPV7RPuDI1EDOKjkoDXkV5Yd_NofeQTYTtAHUYGGw/edit#gid=1522333227"",""Rekap KTR!$E$8"")"),6)</f>
        <v>6</v>
      </c>
      <c r="F13" s="116" t="str">
        <f ca="1">IFERROR(__xludf.DUMMYFUNCTION("IMPORTRANGE(""https://docs.google.com/spreadsheets/d/1ApPPV7RPuDI1EDOKjkoDXkV5Yd_NofeQTYTtAHUYGGw/edit#gid=1522333227"",""Rekap KTR!$E$9"")"),"")</f>
        <v/>
      </c>
      <c r="G13" s="116" t="str">
        <f ca="1">IFERROR(__xludf.DUMMYFUNCTION("IMPORTRANGE(""https://docs.google.com/spreadsheets/d/1ApPPV7RPuDI1EDOKjkoDXkV5Yd_NofeQTYTtAHUYGGw/edit#gid=1522333227"",""Rekap KTR!$E$10"")"),"")</f>
        <v/>
      </c>
      <c r="H13" s="116" t="str">
        <f ca="1">IFERROR(__xludf.DUMMYFUNCTION("IMPORTRANGE(""https://docs.google.com/spreadsheets/d/1ApPPV7RPuDI1EDOKjkoDXkV5Yd_NofeQTYTtAHUYGGw/edit#gid=1522333227"",""Rekap KTR!$E$11"")"),"")</f>
        <v/>
      </c>
      <c r="I13" s="11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24" t="str">
        <f>'SPM-Uspro'!$C$18</f>
        <v>MEI</v>
      </c>
      <c r="C14" s="116">
        <f ca="1">IFERROR(__xludf.DUMMYFUNCTION("IMPORTRANGE(""https://docs.google.com/spreadsheets/d/1iV_nqIfkAdyO_vl_QARxWbfnGcK2KlCCS94aVJ2QbTI/edit#gid=1522333227"",""Rekap KTR!$E$6"")"),6)</f>
        <v>6</v>
      </c>
      <c r="D14" s="116">
        <f ca="1">IFERROR(__xludf.DUMMYFUNCTION("IMPORTRANGE(""https://docs.google.com/spreadsheets/d/1iV_nqIfkAdyO_vl_QARxWbfnGcK2KlCCS94aVJ2QbTI/edit#gid=1522333227"",""Rekap KTR!$E$7"")"),26)</f>
        <v>26</v>
      </c>
      <c r="E14" s="116">
        <f ca="1">IFERROR(__xludf.DUMMYFUNCTION("IMPORTRANGE(""https://docs.google.com/spreadsheets/d/1iV_nqIfkAdyO_vl_QARxWbfnGcK2KlCCS94aVJ2QbTI/edit#gid=1522333227"",""Rekap KTR!$E$8"")"),13)</f>
        <v>13</v>
      </c>
      <c r="F14" s="116">
        <f ca="1">IFERROR(__xludf.DUMMYFUNCTION("IMPORTRANGE(""https://docs.google.com/spreadsheets/d/1iV_nqIfkAdyO_vl_QARxWbfnGcK2KlCCS94aVJ2QbTI/edit#gid=1522333227"",""Rekap KTR!$E$9"")"),0)</f>
        <v>0</v>
      </c>
      <c r="G14" s="116">
        <f ca="1">IFERROR(__xludf.DUMMYFUNCTION("IMPORTRANGE(""https://docs.google.com/spreadsheets/d/1iV_nqIfkAdyO_vl_QARxWbfnGcK2KlCCS94aVJ2QbTI/edit#gid=1522333227"",""Rekap KTR!$E$10"")"),0)</f>
        <v>0</v>
      </c>
      <c r="H14" s="116">
        <f ca="1">IFERROR(__xludf.DUMMYFUNCTION("IMPORTRANGE(""https://docs.google.com/spreadsheets/d/1iV_nqIfkAdyO_vl_QARxWbfnGcK2KlCCS94aVJ2QbTI/edit#gid=1522333227"",""Rekap KTR!$E$11"")"),0)</f>
        <v>0</v>
      </c>
      <c r="I14" s="11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24" t="str">
        <f>'SPM-Uspro'!$C$19</f>
        <v>JUNI</v>
      </c>
      <c r="C15" s="116">
        <f ca="1">IFERROR(__xludf.DUMMYFUNCTION("IMPORTRANGE(""https://docs.google.com/spreadsheets/d/1zz70Lj6oBg1MOPSG6KJcsMeqBNtXMHYICRkg7kpt_d0/edit#gid=1892753874"",""Rekap KTR!$E$6"")"),9)</f>
        <v>9</v>
      </c>
      <c r="D15" s="116">
        <f ca="1">IFERROR(__xludf.DUMMYFUNCTION("IMPORTRANGE(""https://docs.google.com/spreadsheets/d/1zz70Lj6oBg1MOPSG6KJcsMeqBNtXMHYICRkg7kpt_d0/edit#gid=1892753874"",""Rekap KTR!$E$7"")"),47)</f>
        <v>47</v>
      </c>
      <c r="E15" s="116">
        <f ca="1">IFERROR(__xludf.DUMMYFUNCTION("IMPORTRANGE(""https://docs.google.com/spreadsheets/d/1zz70Lj6oBg1MOPSG6KJcsMeqBNtXMHYICRkg7kpt_d0/edit#gid=1892753874"",""Rekap KTR!$E$8"")"),29)</f>
        <v>29</v>
      </c>
      <c r="F15" s="116">
        <f ca="1">IFERROR(__xludf.DUMMYFUNCTION("IMPORTRANGE(""https://docs.google.com/spreadsheets/d/1zz70Lj6oBg1MOPSG6KJcsMeqBNtXMHYICRkg7kpt_d0/edit#gid=1892753874"",""Rekap KTR!$E$9"")"),3)</f>
        <v>3</v>
      </c>
      <c r="G15" s="116">
        <f ca="1">IFERROR(__xludf.DUMMYFUNCTION("IMPORTRANGE(""https://docs.google.com/spreadsheets/d/1zz70Lj6oBg1MOPSG6KJcsMeqBNtXMHYICRkg7kpt_d0/edit#gid=1892753874"",""Rekap KTR!$E$10"")"),1)</f>
        <v>1</v>
      </c>
      <c r="H15" s="116">
        <f ca="1">IFERROR(__xludf.DUMMYFUNCTION("IMPORTRANGE(""https://docs.google.com/spreadsheets/d/1zz70Lj6oBg1MOPSG6KJcsMeqBNtXMHYICRkg7kpt_d0/edit#gid=1892753874"",""Rekap KTR!$E$11"")"),4)</f>
        <v>4</v>
      </c>
      <c r="I15" s="11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24" t="str">
        <f>'SPM-Uspro'!$C$20</f>
        <v>TRIBULAN 2</v>
      </c>
      <c r="C16" s="116">
        <f ca="1">IFERROR(__xludf.DUMMYFUNCTION("IMPORTRANGE(""https://docs.google.com/spreadsheets/d/1773f1iHRnXhbrVjAHR7zUpu3neZdvtp1a2ikB9LJu8U/edit#gid=1522333227"",""Rekap KTR!$E$6"")"),39)</f>
        <v>39</v>
      </c>
      <c r="D16" s="116">
        <f ca="1">IFERROR(__xludf.DUMMYFUNCTION("IMPORTRANGE(""https://docs.google.com/spreadsheets/d/1773f1iHRnXhbrVjAHR7zUpu3neZdvtp1a2ikB9LJu8U/edit#gid=1522333227"",""Rekap KTR!$E$7"")"),43)</f>
        <v>43</v>
      </c>
      <c r="E16" s="116">
        <f ca="1">IFERROR(__xludf.DUMMYFUNCTION("IMPORTRANGE(""https://docs.google.com/spreadsheets/d/1773f1iHRnXhbrVjAHR7zUpu3neZdvtp1a2ikB9LJu8U/edit#gid=1522333227"",""Rekap KTR!$E$8"")"),32)</f>
        <v>32</v>
      </c>
      <c r="F16" s="116">
        <f ca="1">IFERROR(__xludf.DUMMYFUNCTION("IMPORTRANGE(""https://docs.google.com/spreadsheets/d/1773f1iHRnXhbrVjAHR7zUpu3neZdvtp1a2ikB9LJu8U/edit#gid=1522333227"",""Rekap KTR!$E$9"")"),21)</f>
        <v>21</v>
      </c>
      <c r="G16" s="116">
        <f ca="1">IFERROR(__xludf.DUMMYFUNCTION("IMPORTRANGE(""https://docs.google.com/spreadsheets/d/1773f1iHRnXhbrVjAHR7zUpu3neZdvtp1a2ikB9LJu8U/edit#gid=1522333227"",""Rekap KTR!$E$10"")"),0)</f>
        <v>0</v>
      </c>
      <c r="H16" s="116">
        <f ca="1">IFERROR(__xludf.DUMMYFUNCTION("IMPORTRANGE(""https://docs.google.com/spreadsheets/d/1773f1iHRnXhbrVjAHR7zUpu3neZdvtp1a2ikB9LJu8U/edit#gid=1522333227"",""Rekap KTR!$E$11"")"),16)</f>
        <v>16</v>
      </c>
      <c r="I16" s="11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24" t="str">
        <f>'SPM-Uspro'!$C$21</f>
        <v>JULI</v>
      </c>
      <c r="C17" s="116">
        <f ca="1">IFERROR(__xludf.DUMMYFUNCTION("IMPORTRANGE(""https://docs.google.com/spreadsheets/d/10iNzN1LqaStEosZKEbqcoOm3IdodNsG31q_nR0Y6WGo/edit#gid=1522333227"",""Rekap KTR!$E$6"")"),1)</f>
        <v>1</v>
      </c>
      <c r="D17" s="116">
        <f ca="1">IFERROR(__xludf.DUMMYFUNCTION("IMPORTRANGE(""https://docs.google.com/spreadsheets/d/10iNzN1LqaStEosZKEbqcoOm3IdodNsG31q_nR0Y6WGo/edit#gid=1522333227"",""Rekap KTR!$E$7"")"),27)</f>
        <v>27</v>
      </c>
      <c r="E17" s="116">
        <f ca="1">IFERROR(__xludf.DUMMYFUNCTION("IMPORTRANGE(""https://docs.google.com/spreadsheets/d/10iNzN1LqaStEosZKEbqcoOm3IdodNsG31q_nR0Y6WGo/edit#gid=1522333227"",""Rekap KTR!$E$8"")"),2)</f>
        <v>2</v>
      </c>
      <c r="F17" s="116">
        <f ca="1">IFERROR(__xludf.DUMMYFUNCTION("IMPORTRANGE(""https://docs.google.com/spreadsheets/d/10iNzN1LqaStEosZKEbqcoOm3IdodNsG31q_nR0Y6WGo/edit#gid=1522333227"",""Rekap KTR!$E$9"")"),3)</f>
        <v>3</v>
      </c>
      <c r="G17" s="116">
        <f ca="1">IFERROR(__xludf.DUMMYFUNCTION("IMPORTRANGE(""https://docs.google.com/spreadsheets/d/10iNzN1LqaStEosZKEbqcoOm3IdodNsG31q_nR0Y6WGo/edit#gid=1522333227"",""Rekap KTR!$E$10"")"),0)</f>
        <v>0</v>
      </c>
      <c r="H17" s="116">
        <f ca="1">IFERROR(__xludf.DUMMYFUNCTION("IMPORTRANGE(""https://docs.google.com/spreadsheets/d/10iNzN1LqaStEosZKEbqcoOm3IdodNsG31q_nR0Y6WGo/edit#gid=1522333227"",""Rekap KTR!$E$11"")"),2)</f>
        <v>2</v>
      </c>
      <c r="I17" s="11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24" t="str">
        <f>'SPM-Uspro'!$C$22</f>
        <v>AGUSTUS</v>
      </c>
      <c r="C18" s="116">
        <f ca="1">IFERROR(__xludf.DUMMYFUNCTION("IMPORTRANGE(""https://docs.google.com/spreadsheets/d/17PsIU8VcCQeO2M4DM42K9vv32GkafaaF1LxQevQ8tAQ/edit#gid=1892753874"",""Rekap KTR!$E$6"")"),2)</f>
        <v>2</v>
      </c>
      <c r="D18" s="116">
        <f ca="1">IFERROR(__xludf.DUMMYFUNCTION("IMPORTRANGE(""https://docs.google.com/spreadsheets/d/17PsIU8VcCQeO2M4DM42K9vv32GkafaaF1LxQevQ8tAQ/edit#gid=1892753874"",""Rekap KTR!$E$7"")"),21)</f>
        <v>21</v>
      </c>
      <c r="E18" s="116">
        <f ca="1">IFERROR(__xludf.DUMMYFUNCTION("IMPORTRANGE(""https://docs.google.com/spreadsheets/d/17PsIU8VcCQeO2M4DM42K9vv32GkafaaF1LxQevQ8tAQ/edit#gid=1892753874"",""Rekap KTR!$E$8"")"),17)</f>
        <v>17</v>
      </c>
      <c r="F18" s="116">
        <f ca="1">IFERROR(__xludf.DUMMYFUNCTION("IMPORTRANGE(""https://docs.google.com/spreadsheets/d/17PsIU8VcCQeO2M4DM42K9vv32GkafaaF1LxQevQ8tAQ/edit#gid=1892753874"",""Rekap KTR!$E$9"")"),0)</f>
        <v>0</v>
      </c>
      <c r="G18" s="116">
        <f ca="1">IFERROR(__xludf.DUMMYFUNCTION("IMPORTRANGE(""https://docs.google.com/spreadsheets/d/17PsIU8VcCQeO2M4DM42K9vv32GkafaaF1LxQevQ8tAQ/edit#gid=1892753874"",""Rekap KTR!$E$10"")"),0)</f>
        <v>0</v>
      </c>
      <c r="H18" s="116">
        <f ca="1">IFERROR(__xludf.DUMMYFUNCTION("IMPORTRANGE(""https://docs.google.com/spreadsheets/d/17PsIU8VcCQeO2M4DM42K9vv32GkafaaF1LxQevQ8tAQ/edit#gid=1892753874"",""Rekap KTR!$E$11"")"),0)</f>
        <v>0</v>
      </c>
      <c r="I18" s="11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24" t="str">
        <f>'SPM-Uspro'!$C$23</f>
        <v>SEPTEMBER</v>
      </c>
      <c r="C19" s="116">
        <f ca="1">IFERROR(__xludf.DUMMYFUNCTION("IMPORTRANGE(""https://docs.google.com/spreadsheets/d/1d0Y9C6M4-a1TT0nIK2Gc4IXnbVyxoBB3v7o1biNGAwY/edit#gid=1892753874"",""Rekap KTR!$E$6"")"),6)</f>
        <v>6</v>
      </c>
      <c r="D19" s="116">
        <f ca="1">IFERROR(__xludf.DUMMYFUNCTION("IMPORTRANGE(""https://docs.google.com/spreadsheets/d/1d0Y9C6M4-a1TT0nIK2Gc4IXnbVyxoBB3v7o1biNGAwY/edit#gid=1892753874"",""Rekap KTR!$E$7"")"),27)</f>
        <v>27</v>
      </c>
      <c r="E19" s="116">
        <f ca="1">IFERROR(__xludf.DUMMYFUNCTION("IMPORTRANGE(""https://docs.google.com/spreadsheets/d/1d0Y9C6M4-a1TT0nIK2Gc4IXnbVyxoBB3v7o1biNGAwY/edit#gid=1892753874"",""Rekap KTR!$E$8"")"),7)</f>
        <v>7</v>
      </c>
      <c r="F19" s="116">
        <f ca="1">IFERROR(__xludf.DUMMYFUNCTION("IMPORTRANGE(""https://docs.google.com/spreadsheets/d/1d0Y9C6M4-a1TT0nIK2Gc4IXnbVyxoBB3v7o1biNGAwY/edit#gid=1892753874"",""Rekap KTR!$E$9"")"),0)</f>
        <v>0</v>
      </c>
      <c r="G19" s="116">
        <f ca="1">IFERROR(__xludf.DUMMYFUNCTION("IMPORTRANGE(""https://docs.google.com/spreadsheets/d/1d0Y9C6M4-a1TT0nIK2Gc4IXnbVyxoBB3v7o1biNGAwY/edit#gid=1892753874"",""Rekap KTR!$E$10"")"),0)</f>
        <v>0</v>
      </c>
      <c r="H19" s="116">
        <f ca="1">IFERROR(__xludf.DUMMYFUNCTION("IMPORTRANGE(""https://docs.google.com/spreadsheets/d/1d0Y9C6M4-a1TT0nIK2Gc4IXnbVyxoBB3v7o1biNGAwY/edit#gid=1892753874"",""Rekap KTR!$E$11"")"),0)</f>
        <v>0</v>
      </c>
      <c r="I19" s="11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24" t="str">
        <f>'SPM-Uspro'!$C$24</f>
        <v>TRIBULAN 3</v>
      </c>
      <c r="C20" s="116">
        <f ca="1">IFERROR(__xludf.DUMMYFUNCTION("IMPORTRANGE(""https://docs.google.com/spreadsheets/d/1fXA1yQzUNddp7fjR2KF22o4rRJu9lP9Ja9Oi1mRbg_E/edit#gid=1892753874"",""Rekap KTR!$E$6"")"),2)</f>
        <v>2</v>
      </c>
      <c r="D20" s="116">
        <f ca="1">IFERROR(__xludf.DUMMYFUNCTION("IMPORTRANGE(""https://docs.google.com/spreadsheets/d/1fXA1yQzUNddp7fjR2KF22o4rRJu9lP9Ja9Oi1mRbg_E/edit#gid=1892753874"",""Rekap KTR!$E$7"")"),31)</f>
        <v>31</v>
      </c>
      <c r="E20" s="116">
        <f ca="1">IFERROR(__xludf.DUMMYFUNCTION("IMPORTRANGE(""https://docs.google.com/spreadsheets/d/1fXA1yQzUNddp7fjR2KF22o4rRJu9lP9Ja9Oi1mRbg_E/edit#gid=1892753874"",""Rekap KTR!$E$8"")"),29)</f>
        <v>29</v>
      </c>
      <c r="F20" s="116">
        <f ca="1">IFERROR(__xludf.DUMMYFUNCTION("IMPORTRANGE(""https://docs.google.com/spreadsheets/d/1fXA1yQzUNddp7fjR2KF22o4rRJu9lP9Ja9Oi1mRbg_E/edit#gid=1892753874"",""Rekap KTR!$E$9"")"),19)</f>
        <v>19</v>
      </c>
      <c r="G20" s="116">
        <f ca="1">IFERROR(__xludf.DUMMYFUNCTION("IMPORTRANGE(""https://docs.google.com/spreadsheets/d/1fXA1yQzUNddp7fjR2KF22o4rRJu9lP9Ja9Oi1mRbg_E/edit#gid=1892753874"",""Rekap KTR!$E$10"")"),1)</f>
        <v>1</v>
      </c>
      <c r="H20" s="116">
        <f ca="1">IFERROR(__xludf.DUMMYFUNCTION("IMPORTRANGE(""https://docs.google.com/spreadsheets/d/1fXA1yQzUNddp7fjR2KF22o4rRJu9lP9Ja9Oi1mRbg_E/edit#gid=1892753874"",""Rekap KTR!$E$11"")"),1)</f>
        <v>1</v>
      </c>
      <c r="I20" s="11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24" t="str">
        <f>'SPM-Uspro'!$C$25</f>
        <v>OKTOBER</v>
      </c>
      <c r="C21" s="116">
        <f ca="1">IFERROR(__xludf.DUMMYFUNCTION("IMPORTRANGE(""https://docs.google.com/spreadsheets/d/155aL1qCqCleHwMP0Y8LT5akEbK27R0RIka-lAkeoeEo/edit#gid=1892753874"",""Rekap KTR!$E$6"")"),10)</f>
        <v>10</v>
      </c>
      <c r="D21" s="116">
        <f ca="1">IFERROR(__xludf.DUMMYFUNCTION("IMPORTRANGE(""https://docs.google.com/spreadsheets/d/155aL1qCqCleHwMP0Y8LT5akEbK27R0RIka-lAkeoeEo/edit#gid=1892753874"",""Rekap KTR!$E$7"")"),47)</f>
        <v>47</v>
      </c>
      <c r="E21" s="116">
        <f ca="1">IFERROR(__xludf.DUMMYFUNCTION("IMPORTRANGE(""https://docs.google.com/spreadsheets/d/155aL1qCqCleHwMP0Y8LT5akEbK27R0RIka-lAkeoeEo/edit#gid=1892753874"",""Rekap KTR!$E$8"")"),5)</f>
        <v>5</v>
      </c>
      <c r="F21" s="116" t="str">
        <f ca="1">IFERROR(__xludf.DUMMYFUNCTION("IMPORTRANGE(""https://docs.google.com/spreadsheets/d/155aL1qCqCleHwMP0Y8LT5akEbK27R0RIka-lAkeoeEo/edit#gid=1892753874"",""Rekap KTR!$E$9"")"),"")</f>
        <v/>
      </c>
      <c r="G21" s="116" t="str">
        <f ca="1">IFERROR(__xludf.DUMMYFUNCTION("IMPORTRANGE(""https://docs.google.com/spreadsheets/d/155aL1qCqCleHwMP0Y8LT5akEbK27R0RIka-lAkeoeEo/edit#gid=1892753874"",""Rekap KTR!$E$10"")"),"")</f>
        <v/>
      </c>
      <c r="H21" s="116" t="str">
        <f ca="1">IFERROR(__xludf.DUMMYFUNCTION("IMPORTRANGE(""https://docs.google.com/spreadsheets/d/155aL1qCqCleHwMP0Y8LT5akEbK27R0RIka-lAkeoeEo/edit#gid=1892753874"",""Rekap KTR!$E$11"")"),"")</f>
        <v/>
      </c>
      <c r="I21" s="11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24" t="str">
        <f>'SPM-Uspro'!$C$26</f>
        <v>NOVEMBER</v>
      </c>
      <c r="C22" s="116">
        <f ca="1">IFERROR(__xludf.DUMMYFUNCTION("IMPORTRANGE(""https://docs.google.com/spreadsheets/d/13FRR1udp0c0o6Nmp_8YHiON78PXr-L4FqQQ028JcBYY/edit#gid=1522333227"",""Rekap KTR!$E$6"")"),7)</f>
        <v>7</v>
      </c>
      <c r="D22" s="116">
        <f ca="1">IFERROR(__xludf.DUMMYFUNCTION("IMPORTRANGE(""https://docs.google.com/spreadsheets/d/13FRR1udp0c0o6Nmp_8YHiON78PXr-L4FqQQ028JcBYY/edit#gid=1522333227"",""Rekap KTR!$E$7"")"),31)</f>
        <v>31</v>
      </c>
      <c r="E22" s="116">
        <f ca="1">IFERROR(__xludf.DUMMYFUNCTION("IMPORTRANGE(""https://docs.google.com/spreadsheets/d/13FRR1udp0c0o6Nmp_8YHiON78PXr-L4FqQQ028JcBYY/edit#gid=1522333227"",""Rekap KTR!$E$8"")"),2)</f>
        <v>2</v>
      </c>
      <c r="F22" s="116" t="str">
        <f ca="1">IFERROR(__xludf.DUMMYFUNCTION("IMPORTRANGE(""https://docs.google.com/spreadsheets/d/13FRR1udp0c0o6Nmp_8YHiON78PXr-L4FqQQ028JcBYY/edit#gid=1522333227"",""Rekap KTR!$E$9"")"),"")</f>
        <v/>
      </c>
      <c r="G22" s="116" t="str">
        <f ca="1">IFERROR(__xludf.DUMMYFUNCTION("IMPORTRANGE(""https://docs.google.com/spreadsheets/d/13FRR1udp0c0o6Nmp_8YHiON78PXr-L4FqQQ028JcBYY/edit#gid=1522333227"",""Rekap KTR!$E$10"")"),"")</f>
        <v/>
      </c>
      <c r="H22" s="116" t="str">
        <f ca="1">IFERROR(__xludf.DUMMYFUNCTION("IMPORTRANGE(""https://docs.google.com/spreadsheets/d/13FRR1udp0c0o6Nmp_8YHiON78PXr-L4FqQQ028JcBYY/edit#gid=1522333227"",""Rekap KTR!$E$11"")"),"")</f>
        <v/>
      </c>
      <c r="I22" s="11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24" t="str">
        <f>'SPM-Uspro'!$C$27</f>
        <v>DESEMBER</v>
      </c>
      <c r="C23" s="116">
        <f ca="1">IFERROR(__xludf.DUMMYFUNCTION("IMPORTRANGE(""https://docs.google.com/spreadsheets/d/1PVwe4VvYfj1Vj424c9kO9TcQogsBM6TpXMbFve9togc/edit#gid=1522333227"",""Rekap KTR!$E$6"")"),5)</f>
        <v>5</v>
      </c>
      <c r="D23" s="116">
        <f ca="1">IFERROR(__xludf.DUMMYFUNCTION("IMPORTRANGE(""https://docs.google.com/spreadsheets/d/1PVwe4VvYfj1Vj424c9kO9TcQogsBM6TpXMbFve9togc/edit#gid=1522333227"",""Rekap KTR!$E$7"")"),38)</f>
        <v>38</v>
      </c>
      <c r="E23" s="116">
        <f ca="1">IFERROR(__xludf.DUMMYFUNCTION("IMPORTRANGE(""https://docs.google.com/spreadsheets/d/1PVwe4VvYfj1Vj424c9kO9TcQogsBM6TpXMbFve9togc/edit#gid=1522333227"",""Rekap KTR!$E$8"")"),17)</f>
        <v>17</v>
      </c>
      <c r="F23" s="116">
        <f ca="1">IFERROR(__xludf.DUMMYFUNCTION("IMPORTRANGE(""https://docs.google.com/spreadsheets/d/1PVwe4VvYfj1Vj424c9kO9TcQogsBM6TpXMbFve9togc/edit#gid=1522333227"",""Rekap KTR!$E$9"")"),0)</f>
        <v>0</v>
      </c>
      <c r="G23" s="116">
        <f ca="1">IFERROR(__xludf.DUMMYFUNCTION("IMPORTRANGE(""https://docs.google.com/spreadsheets/d/1PVwe4VvYfj1Vj424c9kO9TcQogsBM6TpXMbFve9togc/edit#gid=1522333227"",""Rekap KTR!$E$10"")"),0)</f>
        <v>0</v>
      </c>
      <c r="H23" s="116">
        <f ca="1">IFERROR(__xludf.DUMMYFUNCTION("IMPORTRANGE(""https://docs.google.com/spreadsheets/d/1PVwe4VvYfj1Vj424c9kO9TcQogsBM6TpXMbFve9togc/edit#gid=1522333227"",""Rekap KTR!$E$11"")"),0)</f>
        <v>0</v>
      </c>
      <c r="I23" s="11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24" t="str">
        <f>'SPM-Uspro'!$C$28</f>
        <v>TRIBULAN 4</v>
      </c>
      <c r="C24" s="116" t="str">
        <f ca="1">IFERROR(__xludf.DUMMYFUNCTION("IMPORTRANGE(""https://docs.google.com/spreadsheets/d/15JUTNcWxWGx3Ha8qvwbxgnbDbT4v7N3vZYvqPZ68_Xg/edit#gid=1892753874"",""Rekap KTR!$E$6"")"),"")</f>
        <v/>
      </c>
      <c r="D24" s="116">
        <f ca="1">IFERROR(__xludf.DUMMYFUNCTION("IMPORTRANGE(""https://docs.google.com/spreadsheets/d/15JUTNcWxWGx3Ha8qvwbxgnbDbT4v7N3vZYvqPZ68_Xg/edit#gid=1892753874"",""Rekap KTR!$E$7"")"),19)</f>
        <v>19</v>
      </c>
      <c r="E24" s="116" t="str">
        <f ca="1">IFERROR(__xludf.DUMMYFUNCTION("IMPORTRANGE(""https://docs.google.com/spreadsheets/d/15JUTNcWxWGx3Ha8qvwbxgnbDbT4v7N3vZYvqPZ68_Xg/edit#gid=1892753874"",""Rekap KTR!$E$8"")"),"")</f>
        <v/>
      </c>
      <c r="F24" s="116" t="str">
        <f ca="1">IFERROR(__xludf.DUMMYFUNCTION("IMPORTRANGE(""https://docs.google.com/spreadsheets/d/15JUTNcWxWGx3Ha8qvwbxgnbDbT4v7N3vZYvqPZ68_Xg/edit#gid=1892753874"",""Rekap KTR!$E$9"")"),"")</f>
        <v/>
      </c>
      <c r="G24" s="116" t="str">
        <f ca="1">IFERROR(__xludf.DUMMYFUNCTION("IMPORTRANGE(""https://docs.google.com/spreadsheets/d/15JUTNcWxWGx3Ha8qvwbxgnbDbT4v7N3vZYvqPZ68_Xg/edit#gid=1892753874"",""Rekap KTR!$E$10"")"),"")</f>
        <v/>
      </c>
      <c r="H24" s="116" t="str">
        <f ca="1">IFERROR(__xludf.DUMMYFUNCTION("IMPORTRANGE(""https://docs.google.com/spreadsheets/d/15JUTNcWxWGx3Ha8qvwbxgnbDbT4v7N3vZYvqPZ68_Xg/edit#gid=1892753874"",""Rekap KTR!$E$11"")"),"")</f>
        <v/>
      </c>
      <c r="I24" s="11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5" t="s">
        <v>51</v>
      </c>
      <c r="B1" s="162"/>
      <c r="C1" s="156"/>
      <c r="D1" s="184" t="s">
        <v>54</v>
      </c>
      <c r="E1" s="162"/>
      <c r="F1" s="162"/>
      <c r="G1" s="162"/>
      <c r="H1" s="162"/>
      <c r="I1" s="162"/>
      <c r="J1" s="156"/>
      <c r="K1" s="117"/>
      <c r="L1" s="1"/>
      <c r="M1" s="1"/>
      <c r="N1" s="1"/>
      <c r="O1" s="1"/>
      <c r="P1" s="1"/>
    </row>
    <row r="2" spans="1:16" ht="21" x14ac:dyDescent="0.15">
      <c r="A2" s="157"/>
      <c r="B2" s="163"/>
      <c r="C2" s="158"/>
      <c r="D2" s="157"/>
      <c r="E2" s="163"/>
      <c r="F2" s="163"/>
      <c r="G2" s="163"/>
      <c r="H2" s="163"/>
      <c r="I2" s="163"/>
      <c r="J2" s="158"/>
      <c r="K2" s="117"/>
      <c r="L2" s="1"/>
      <c r="M2" s="1"/>
      <c r="N2" s="1"/>
      <c r="O2" s="1"/>
      <c r="P2" s="1"/>
    </row>
    <row r="3" spans="1:16" ht="21" x14ac:dyDescent="0.15">
      <c r="A3" s="159"/>
      <c r="B3" s="164"/>
      <c r="C3" s="160"/>
      <c r="D3" s="157"/>
      <c r="E3" s="163"/>
      <c r="F3" s="163"/>
      <c r="G3" s="163"/>
      <c r="H3" s="163"/>
      <c r="I3" s="163"/>
      <c r="J3" s="158"/>
      <c r="K3" s="117"/>
      <c r="L3" s="1"/>
      <c r="M3" s="1"/>
      <c r="N3" s="1"/>
      <c r="O3" s="1"/>
      <c r="P3" s="1"/>
    </row>
    <row r="4" spans="1:16" ht="24.75" customHeight="1" x14ac:dyDescent="0.15">
      <c r="A4" s="176" t="s">
        <v>52</v>
      </c>
      <c r="B4" s="185"/>
      <c r="C4" s="167"/>
      <c r="D4" s="159"/>
      <c r="E4" s="164"/>
      <c r="F4" s="164"/>
      <c r="G4" s="164"/>
      <c r="H4" s="164"/>
      <c r="I4" s="164"/>
      <c r="J4" s="160"/>
      <c r="K4" s="117"/>
      <c r="L4" s="1"/>
      <c r="M4" s="1"/>
      <c r="N4" s="1"/>
      <c r="O4" s="1"/>
      <c r="P4" s="1"/>
    </row>
    <row r="6" spans="1:16" ht="22.5" customHeight="1" x14ac:dyDescent="0.15">
      <c r="A6" s="186" t="s">
        <v>55</v>
      </c>
      <c r="B6" s="143"/>
      <c r="C6" s="143"/>
      <c r="D6" s="143"/>
      <c r="E6" s="143"/>
      <c r="F6" s="143"/>
      <c r="G6" s="143"/>
      <c r="H6" s="143"/>
      <c r="I6" s="143"/>
      <c r="J6" s="181"/>
      <c r="K6" s="2"/>
      <c r="L6" s="2"/>
      <c r="M6" s="2"/>
      <c r="N6" s="2"/>
      <c r="O6" s="2"/>
      <c r="P6" s="2"/>
    </row>
    <row r="7" spans="1:16" ht="14.25" x14ac:dyDescent="0.15">
      <c r="A7" s="187" t="s">
        <v>53</v>
      </c>
      <c r="B7" s="187" t="s">
        <v>56</v>
      </c>
      <c r="C7" s="187" t="s">
        <v>57</v>
      </c>
      <c r="D7" s="187" t="s">
        <v>58</v>
      </c>
      <c r="E7" s="188" t="s">
        <v>59</v>
      </c>
      <c r="F7" s="188" t="s">
        <v>60</v>
      </c>
      <c r="G7" s="188" t="s">
        <v>61</v>
      </c>
      <c r="H7" s="182" t="s">
        <v>62</v>
      </c>
      <c r="I7" s="182" t="s">
        <v>63</v>
      </c>
      <c r="J7" s="182" t="s">
        <v>64</v>
      </c>
    </row>
    <row r="8" spans="1:16" ht="15" customHeight="1" x14ac:dyDescent="0.15">
      <c r="A8" s="178"/>
      <c r="B8" s="178"/>
      <c r="C8" s="178"/>
      <c r="D8" s="178"/>
      <c r="E8" s="178"/>
      <c r="F8" s="178"/>
      <c r="G8" s="178"/>
      <c r="H8" s="178"/>
      <c r="I8" s="178"/>
      <c r="J8" s="178"/>
    </row>
    <row r="9" spans="1:16" ht="14.25" x14ac:dyDescent="0.15">
      <c r="A9" s="179"/>
      <c r="B9" s="179"/>
      <c r="C9" s="179"/>
      <c r="D9" s="179"/>
      <c r="E9" s="179"/>
      <c r="F9" s="179"/>
      <c r="G9" s="179"/>
      <c r="H9" s="179"/>
      <c r="I9" s="179"/>
      <c r="J9" s="179"/>
    </row>
    <row r="10" spans="1:16" x14ac:dyDescent="0.2">
      <c r="A10" s="124" t="str">
        <f>'SPM-Uspro'!$C$13</f>
        <v>JANUARI</v>
      </c>
      <c r="B10" s="116">
        <f ca="1">IFERROR(__xludf.DUMMYFUNCTION("IMPORTRANGE(""https://docs.google.com/spreadsheets/d/1P0UTisakTE5EAx-MYEjY2DmhSnLNqqRm6P3NrlYXL2I/edit#gid=1892753874"",""Rekap UBM!$B$9"")"),1)</f>
        <v>1</v>
      </c>
      <c r="C10" s="116">
        <f ca="1">IFERROR(__xludf.DUMMYFUNCTION("IMPORTRANGE(""https://docs.google.com/spreadsheets/d/1P0UTisakTE5EAx-MYEjY2DmhSnLNqqRm6P3NrlYXL2I/edit#gid=1892753874"",""Rekap UBM!$C$9"")"),1)</f>
        <v>1</v>
      </c>
      <c r="D10" s="125">
        <f t="shared" ref="D10:D25" ca="1" si="0">C10/B10*100</f>
        <v>100</v>
      </c>
      <c r="E10" s="116" t="str">
        <f ca="1">IFERROR(__xludf.DUMMYFUNCTION("IMPORTRANGE(""https://docs.google.com/spreadsheets/d/1P0UTisakTE5EAx-MYEjY2DmhSnLNqqRm6P3NrlYXL2I/edit#gid=1892753874"",""Rekap UBM!$E$9"")"),"")</f>
        <v/>
      </c>
      <c r="F10" s="116" t="str">
        <f ca="1">IFERROR(__xludf.DUMMYFUNCTION("IMPORTRANGE(""https://docs.google.com/spreadsheets/d/1P0UTisakTE5EAx-MYEjY2DmhSnLNqqRm6P3NrlYXL2I/edit#gid=1892753874"",""Rekap UBM!$F$9"")"),"")</f>
        <v/>
      </c>
      <c r="G10" s="125" t="e">
        <f t="shared" ref="G10:G25" ca="1" si="1">F10/E10*100</f>
        <v>#VALUE!</v>
      </c>
      <c r="H10" s="116" t="str">
        <f ca="1">IFERROR(__xludf.DUMMYFUNCTION("IMPORTRANGE(""https://docs.google.com/spreadsheets/d/1P0UTisakTE5EAx-MYEjY2DmhSnLNqqRm6P3NrlYXL2I/edit#gid=1892753874"",""Rekap UBM!$H$9"")"),"")</f>
        <v/>
      </c>
      <c r="I10" s="116" t="str">
        <f ca="1">IFERROR(__xludf.DUMMYFUNCTION("IMPORTRANGE(""https://docs.google.com/spreadsheets/d/1P0UTisakTE5EAx-MYEjY2DmhSnLNqqRm6P3NrlYXL2I/edit#gid=1892753874"",""Rekap UBM!$I$9"")"),"")</f>
        <v/>
      </c>
      <c r="J10" s="125" t="e">
        <f t="shared" ref="J10:J25" ca="1" si="2">I10/H10*100</f>
        <v>#VALUE!</v>
      </c>
    </row>
    <row r="11" spans="1:16" x14ac:dyDescent="0.2">
      <c r="A11" s="124" t="str">
        <f>'SPM-Uspro'!$C$14</f>
        <v>FEBRUARI</v>
      </c>
      <c r="B11" s="116">
        <f ca="1">IFERROR(__xludf.DUMMYFUNCTION("IMPORTRANGE(""https://docs.google.com/spreadsheets/d/1jB-UnyPBzGq1HOZkIVtft_Wo28OEKcZNsVgS5r_boTE/edit#gid=1522333227"",""Rekap UBM!$B$9"")"),1)</f>
        <v>1</v>
      </c>
      <c r="C11" s="116">
        <f ca="1">IFERROR(__xludf.DUMMYFUNCTION("IMPORTRANGE(""https://docs.google.com/spreadsheets/d/1jB-UnyPBzGq1HOZkIVtft_Wo28OEKcZNsVgS5r_boTE/edit#gid=1522333227"",""Rekap UBM!$C$9"")"),1)</f>
        <v>1</v>
      </c>
      <c r="D11" s="125">
        <f t="shared" ca="1" si="0"/>
        <v>100</v>
      </c>
      <c r="E11" s="116">
        <f ca="1">IFERROR(__xludf.DUMMYFUNCTION("IMPORTRANGE(""https://docs.google.com/spreadsheets/d/1jB-UnyPBzGq1HOZkIVtft_Wo28OEKcZNsVgS5r_boTE/edit#gid=1522333227"",""Rekap UBM!$E$9"")"),12)</f>
        <v>12</v>
      </c>
      <c r="F11" s="126">
        <f ca="1">IFERROR(__xludf.DUMMYFUNCTION("IMPORTRANGE(""https://docs.google.com/spreadsheets/d/1jB-UnyPBzGq1HOZkIVtft_Wo28OEKcZNsVgS5r_boTE/edit#gid=1522333227"",""Rekap UBM!$F$9"")"),12)</f>
        <v>12</v>
      </c>
      <c r="G11" s="125">
        <f t="shared" ca="1" si="1"/>
        <v>100</v>
      </c>
      <c r="H11" s="126" t="str">
        <f ca="1">IFERROR(__xludf.DUMMYFUNCTION("IMPORTRANGE(""https://docs.google.com/spreadsheets/d/1jB-UnyPBzGq1HOZkIVtft_Wo28OEKcZNsVgS5r_boTE/edit#gid=1522333227"",""Rekap UBM!$H$9"")"),"")</f>
        <v/>
      </c>
      <c r="I11" s="126" t="str">
        <f ca="1">IFERROR(__xludf.DUMMYFUNCTION("IMPORTRANGE(""https://docs.google.com/spreadsheets/d/1jB-UnyPBzGq1HOZkIVtft_Wo28OEKcZNsVgS5r_boTE/edit#gid=1522333227"",""Rekap UBM!$I$9"")"),"")</f>
        <v/>
      </c>
      <c r="J11" s="125" t="e">
        <f t="shared" ca="1" si="2"/>
        <v>#VALUE!</v>
      </c>
    </row>
    <row r="12" spans="1:16" x14ac:dyDescent="0.2">
      <c r="A12" s="124" t="str">
        <f>'SPM-Uspro'!$C$15</f>
        <v>MARET</v>
      </c>
      <c r="B12" s="116">
        <f ca="1">IFERROR(__xludf.DUMMYFUNCTION("IMPORTRANGE(""https://docs.google.com/spreadsheets/d/1gHFrRpJ5fnyxfJI-jxT5z1B1L7rSV8E5sIZEN90Rfhc/edit#gid=1522333227"",""Rekap UBM!$B$9"")"),1)</f>
        <v>1</v>
      </c>
      <c r="C12" s="116">
        <f ca="1">IFERROR(__xludf.DUMMYFUNCTION("IMPORTRANGE(""https://docs.google.com/spreadsheets/d/1gHFrRpJ5fnyxfJI-jxT5z1B1L7rSV8E5sIZEN90Rfhc/edit#gid=1522333227"",""Rekap UBM!$C$9"")"),1)</f>
        <v>1</v>
      </c>
      <c r="D12" s="125">
        <f t="shared" ca="1" si="0"/>
        <v>100</v>
      </c>
      <c r="E12" s="116">
        <f ca="1">IFERROR(__xludf.DUMMYFUNCTION("IMPORTRANGE(""https://docs.google.com/spreadsheets/d/1gHFrRpJ5fnyxfJI-jxT5z1B1L7rSV8E5sIZEN90Rfhc/edit#gid=1522333227"",""Rekap UBM!$E$9"")"),3)</f>
        <v>3</v>
      </c>
      <c r="F12" s="126">
        <f ca="1">IFERROR(__xludf.DUMMYFUNCTION("IMPORTRANGE(""https://docs.google.com/spreadsheets/d/1gHFrRpJ5fnyxfJI-jxT5z1B1L7rSV8E5sIZEN90Rfhc/edit#gid=1522333227"",""Rekap UBM!$F$9"")"),3)</f>
        <v>3</v>
      </c>
      <c r="G12" s="125">
        <f t="shared" ca="1" si="1"/>
        <v>100</v>
      </c>
      <c r="H12" s="126">
        <f ca="1">IFERROR(__xludf.DUMMYFUNCTION("IMPORTRANGE(""https://docs.google.com/spreadsheets/d/1gHFrRpJ5fnyxfJI-jxT5z1B1L7rSV8E5sIZEN90Rfhc/edit#gid=1522333227"",""Rekap UBM!$H$9"")"),6)</f>
        <v>6</v>
      </c>
      <c r="I12" s="126">
        <f ca="1">IFERROR(__xludf.DUMMYFUNCTION("IMPORTRANGE(""https://docs.google.com/spreadsheets/d/1gHFrRpJ5fnyxfJI-jxT5z1B1L7rSV8E5sIZEN90Rfhc/edit#gid=1522333227"",""Rekap UBM!$I$9"")"),6)</f>
        <v>6</v>
      </c>
      <c r="J12" s="125">
        <f t="shared" ca="1" si="2"/>
        <v>100</v>
      </c>
    </row>
    <row r="13" spans="1:16" x14ac:dyDescent="0.2">
      <c r="A13" s="124" t="str">
        <f>'SPM-Uspro'!$C$16</f>
        <v>TRIBULAN 1</v>
      </c>
      <c r="B13" s="116">
        <f ca="1">IFERROR(__xludf.DUMMYFUNCTION("IMPORTRANGE(""https://docs.google.com/spreadsheets/d/1saC2UP2JuYJ7WRPxjh8EMf_BSfGZ18Ous8sVKGLr-Ng/edit#gid=1892753874"",""Rekap UBM!$B$9"")"),1)</f>
        <v>1</v>
      </c>
      <c r="C13" s="116">
        <f ca="1">IFERROR(__xludf.DUMMYFUNCTION("IMPORTRANGE(""https://docs.google.com/spreadsheets/d/1saC2UP2JuYJ7WRPxjh8EMf_BSfGZ18Ous8sVKGLr-Ng/edit#gid=1892753874"",""Rekap UBM!$C$9"")"),1)</f>
        <v>1</v>
      </c>
      <c r="D13" s="125">
        <f t="shared" ca="1" si="0"/>
        <v>100</v>
      </c>
      <c r="E13" s="116">
        <f ca="1">IFERROR(__xludf.DUMMYFUNCTION("IMPORTRANGE(""https://docs.google.com/spreadsheets/d/1saC2UP2JuYJ7WRPxjh8EMf_BSfGZ18Ous8sVKGLr-Ng/edit#gid=1892753874"",""Rekap UBM!$E$9"")"),3)</f>
        <v>3</v>
      </c>
      <c r="F13" s="126">
        <f ca="1">IFERROR(__xludf.DUMMYFUNCTION("IMPORTRANGE(""https://docs.google.com/spreadsheets/d/1saC2UP2JuYJ7WRPxjh8EMf_BSfGZ18Ous8sVKGLr-Ng/edit#gid=1892753874"",""Rekap UBM!$F$9"")"),0)</f>
        <v>0</v>
      </c>
      <c r="G13" s="125">
        <f t="shared" ca="1" si="1"/>
        <v>0</v>
      </c>
      <c r="H13" s="126">
        <f ca="1">IFERROR(__xludf.DUMMYFUNCTION("IMPORTRANGE(""https://docs.google.com/spreadsheets/d/1saC2UP2JuYJ7WRPxjh8EMf_BSfGZ18Ous8sVKGLr-Ng/edit#gid=1892753874"",""Rekap UBM!$H$9"")"),5)</f>
        <v>5</v>
      </c>
      <c r="I13" s="126">
        <f ca="1">IFERROR(__xludf.DUMMYFUNCTION("IMPORTRANGE(""https://docs.google.com/spreadsheets/d/1saC2UP2JuYJ7WRPxjh8EMf_BSfGZ18Ous8sVKGLr-Ng/edit#gid=1892753874"",""Rekap UBM!$I$9"")"),0)</f>
        <v>0</v>
      </c>
      <c r="J13" s="125">
        <f t="shared" ca="1" si="2"/>
        <v>0</v>
      </c>
    </row>
    <row r="14" spans="1:16" x14ac:dyDescent="0.2">
      <c r="A14" s="124" t="str">
        <f>'SPM-Uspro'!$C$17</f>
        <v>APRIL</v>
      </c>
      <c r="B14" s="116">
        <f ca="1">IFERROR(__xludf.DUMMYFUNCTION("IMPORTRANGE(""https://docs.google.com/spreadsheets/d/1ApPPV7RPuDI1EDOKjkoDXkV5Yd_NofeQTYTtAHUYGGw/edit#gid=1522333227"",""Rekap UBM!$B$9"")"),1)</f>
        <v>1</v>
      </c>
      <c r="C14" s="116">
        <f ca="1">IFERROR(__xludf.DUMMYFUNCTION("IMPORTRANGE(""https://docs.google.com/spreadsheets/d/1ApPPV7RPuDI1EDOKjkoDXkV5Yd_NofeQTYTtAHUYGGw/edit#gid=1522333227"",""Rekap UBM!$C$9"")"),1)</f>
        <v>1</v>
      </c>
      <c r="D14" s="125">
        <f t="shared" ca="1" si="0"/>
        <v>100</v>
      </c>
      <c r="E14" s="116" t="str">
        <f ca="1">IFERROR(__xludf.DUMMYFUNCTION("IMPORTRANGE(""https://docs.google.com/spreadsheets/d/1ApPPV7RPuDI1EDOKjkoDXkV5Yd_NofeQTYTtAHUYGGw/edit#gid=1522333227"",""Rekap UBM!$E$9"")"),"")</f>
        <v/>
      </c>
      <c r="F14" s="126" t="str">
        <f ca="1">IFERROR(__xludf.DUMMYFUNCTION("IMPORTRANGE(""https://docs.google.com/spreadsheets/d/1ApPPV7RPuDI1EDOKjkoDXkV5Yd_NofeQTYTtAHUYGGw/edit#gid=1522333227"",""Rekap UBM!$F$9"")"),"")</f>
        <v/>
      </c>
      <c r="G14" s="125" t="e">
        <f t="shared" ca="1" si="1"/>
        <v>#VALUE!</v>
      </c>
      <c r="H14" s="126" t="str">
        <f ca="1">IFERROR(__xludf.DUMMYFUNCTION("IMPORTRANGE(""https://docs.google.com/spreadsheets/d/1ApPPV7RPuDI1EDOKjkoDXkV5Yd_NofeQTYTtAHUYGGw/edit#gid=1522333227"",""Rekap UBM!$H$9"")"),"")</f>
        <v/>
      </c>
      <c r="I14" s="126" t="str">
        <f ca="1">IFERROR(__xludf.DUMMYFUNCTION("IMPORTRANGE(""https://docs.google.com/spreadsheets/d/1ApPPV7RPuDI1EDOKjkoDXkV5Yd_NofeQTYTtAHUYGGw/edit#gid=1522333227"",""Rekap UBM!$I$9"")"),"")</f>
        <v/>
      </c>
      <c r="J14" s="125" t="e">
        <f t="shared" ca="1" si="2"/>
        <v>#VALUE!</v>
      </c>
    </row>
    <row r="15" spans="1:16" x14ac:dyDescent="0.2">
      <c r="A15" s="124" t="str">
        <f>'SPM-Uspro'!$C$18</f>
        <v>MEI</v>
      </c>
      <c r="B15" s="116">
        <f ca="1">IFERROR(__xludf.DUMMYFUNCTION("IMPORTRANGE(""https://docs.google.com/spreadsheets/d/1iV_nqIfkAdyO_vl_QARxWbfnGcK2KlCCS94aVJ2QbTI/edit#gid=1522333227"",""Rekap UBM!$B$9"")"),1)</f>
        <v>1</v>
      </c>
      <c r="C15" s="116">
        <f ca="1">IFERROR(__xludf.DUMMYFUNCTION("IMPORTRANGE(""https://docs.google.com/spreadsheets/d/1iV_nqIfkAdyO_vl_QARxWbfnGcK2KlCCS94aVJ2QbTI/edit#gid=1522333227"",""Rekap UBM!$C$9"")"),1)</f>
        <v>1</v>
      </c>
      <c r="D15" s="125">
        <f t="shared" ca="1" si="0"/>
        <v>100</v>
      </c>
      <c r="E15" s="116" t="str">
        <f ca="1">IFERROR(__xludf.DUMMYFUNCTION("IMPORTRANGE(""https://docs.google.com/spreadsheets/d/1iV_nqIfkAdyO_vl_QARxWbfnGcK2KlCCS94aVJ2QbTI/edit#gid=1522333227"",""Rekap UBM!$E$9"")"),"")</f>
        <v/>
      </c>
      <c r="F15" s="126" t="str">
        <f ca="1">IFERROR(__xludf.DUMMYFUNCTION("IMPORTRANGE(""https://docs.google.com/spreadsheets/d/1iV_nqIfkAdyO_vl_QARxWbfnGcK2KlCCS94aVJ2QbTI/edit#gid=1522333227"",""Rekap UBM!$F$9"")"),"")</f>
        <v/>
      </c>
      <c r="G15" s="125" t="e">
        <f t="shared" ca="1" si="1"/>
        <v>#VALUE!</v>
      </c>
      <c r="H15" s="126" t="str">
        <f ca="1">IFERROR(__xludf.DUMMYFUNCTION("IMPORTRANGE(""https://docs.google.com/spreadsheets/d/1iV_nqIfkAdyO_vl_QARxWbfnGcK2KlCCS94aVJ2QbTI/edit#gid=1522333227"",""Rekap UBM!$H$9"")"),"")</f>
        <v/>
      </c>
      <c r="I15" s="126" t="str">
        <f ca="1">IFERROR(__xludf.DUMMYFUNCTION("IMPORTRANGE(""https://docs.google.com/spreadsheets/d/1iV_nqIfkAdyO_vl_QARxWbfnGcK2KlCCS94aVJ2QbTI/edit#gid=1522333227"",""Rekap UBM!$I$9"")"),"")</f>
        <v/>
      </c>
      <c r="J15" s="125" t="e">
        <f t="shared" ca="1" si="2"/>
        <v>#VALUE!</v>
      </c>
    </row>
    <row r="16" spans="1:16" x14ac:dyDescent="0.2">
      <c r="A16" s="124" t="str">
        <f>'SPM-Uspro'!$C$19</f>
        <v>JUNI</v>
      </c>
      <c r="B16" s="116">
        <f ca="1">IFERROR(__xludf.DUMMYFUNCTION("IMPORTRANGE(""https://docs.google.com/spreadsheets/d/1zz70Lj6oBg1MOPSG6KJcsMeqBNtXMHYICRkg7kpt_d0/edit#gid=1892753874"",""Rekap UBM!$B$9"")"),1)</f>
        <v>1</v>
      </c>
      <c r="C16" s="116">
        <f ca="1">IFERROR(__xludf.DUMMYFUNCTION("IMPORTRANGE(""https://docs.google.com/spreadsheets/d/1zz70Lj6oBg1MOPSG6KJcsMeqBNtXMHYICRkg7kpt_d0/edit#gid=1892753874"",""Rekap UBM!$C$9"")"),1)</f>
        <v>1</v>
      </c>
      <c r="D16" s="125">
        <f t="shared" ca="1" si="0"/>
        <v>100</v>
      </c>
      <c r="E16" s="116">
        <f ca="1">IFERROR(__xludf.DUMMYFUNCTION("IMPORTRANGE(""https://docs.google.com/spreadsheets/d/1zz70Lj6oBg1MOPSG6KJcsMeqBNtXMHYICRkg7kpt_d0/edit#gid=1892753874"",""Rekap UBM!$E$9"")"),3)</f>
        <v>3</v>
      </c>
      <c r="F16" s="126">
        <f ca="1">IFERROR(__xludf.DUMMYFUNCTION("IMPORTRANGE(""https://docs.google.com/spreadsheets/d/1zz70Lj6oBg1MOPSG6KJcsMeqBNtXMHYICRkg7kpt_d0/edit#gid=1892753874"",""Rekap UBM!$F$9"")"),3)</f>
        <v>3</v>
      </c>
      <c r="G16" s="125">
        <f t="shared" ca="1" si="1"/>
        <v>100</v>
      </c>
      <c r="H16" s="126">
        <f ca="1">IFERROR(__xludf.DUMMYFUNCTION("IMPORTRANGE(""https://docs.google.com/spreadsheets/d/1zz70Lj6oBg1MOPSG6KJcsMeqBNtXMHYICRkg7kpt_d0/edit#gid=1892753874"",""Rekap UBM!$H$9"")"),3)</f>
        <v>3</v>
      </c>
      <c r="I16" s="126">
        <f ca="1">IFERROR(__xludf.DUMMYFUNCTION("IMPORTRANGE(""https://docs.google.com/spreadsheets/d/1zz70Lj6oBg1MOPSG6KJcsMeqBNtXMHYICRkg7kpt_d0/edit#gid=1892753874"",""Rekap UBM!$I$9"")"),3)</f>
        <v>3</v>
      </c>
      <c r="J16" s="125">
        <f t="shared" ca="1" si="2"/>
        <v>100</v>
      </c>
    </row>
    <row r="17" spans="1:10" x14ac:dyDescent="0.2">
      <c r="A17" s="124" t="str">
        <f>'SPM-Uspro'!$C$20</f>
        <v>TRIBULAN 2</v>
      </c>
      <c r="B17" s="116">
        <f ca="1">IFERROR(__xludf.DUMMYFUNCTION("IMPORTRANGE(""https://docs.google.com/spreadsheets/d/1773f1iHRnXhbrVjAHR7zUpu3neZdvtp1a2ikB9LJu8U/edit#gid=1522333227"",""Rekap UBM!$B$9"")"),1)</f>
        <v>1</v>
      </c>
      <c r="C17" s="116">
        <f ca="1">IFERROR(__xludf.DUMMYFUNCTION("IMPORTRANGE(""https://docs.google.com/spreadsheets/d/1773f1iHRnXhbrVjAHR7zUpu3neZdvtp1a2ikB9LJu8U/edit#gid=1522333227"",""Rekap UBM!$C$9"")"),1)</f>
        <v>1</v>
      </c>
      <c r="D17" s="125">
        <f t="shared" ca="1" si="0"/>
        <v>100</v>
      </c>
      <c r="E17" s="116">
        <f ca="1">IFERROR(__xludf.DUMMYFUNCTION("IMPORTRANGE(""https://docs.google.com/spreadsheets/d/1773f1iHRnXhbrVjAHR7zUpu3neZdvtp1a2ikB9LJu8U/edit#gid=1522333227"",""Rekap UBM!$E$9"")"),13)</f>
        <v>13</v>
      </c>
      <c r="F17" s="126">
        <f ca="1">IFERROR(__xludf.DUMMYFUNCTION("IMPORTRANGE(""https://docs.google.com/spreadsheets/d/1773f1iHRnXhbrVjAHR7zUpu3neZdvtp1a2ikB9LJu8U/edit#gid=1522333227"",""Rekap UBM!$F$9"")"),13)</f>
        <v>13</v>
      </c>
      <c r="G17" s="125">
        <f t="shared" ca="1" si="1"/>
        <v>100</v>
      </c>
      <c r="H17" s="126">
        <f ca="1">IFERROR(__xludf.DUMMYFUNCTION("IMPORTRANGE(""https://docs.google.com/spreadsheets/d/1773f1iHRnXhbrVjAHR7zUpu3neZdvtp1a2ikB9LJu8U/edit#gid=1522333227"",""Rekap UBM!$H$9"")"),1)</f>
        <v>1</v>
      </c>
      <c r="I17" s="126">
        <f ca="1">IFERROR(__xludf.DUMMYFUNCTION("IMPORTRANGE(""https://docs.google.com/spreadsheets/d/1773f1iHRnXhbrVjAHR7zUpu3neZdvtp1a2ikB9LJu8U/edit#gid=1522333227"",""Rekap UBM!$I$9"")"),1)</f>
        <v>1</v>
      </c>
      <c r="J17" s="125">
        <f t="shared" ca="1" si="2"/>
        <v>100</v>
      </c>
    </row>
    <row r="18" spans="1:10" x14ac:dyDescent="0.2">
      <c r="A18" s="124" t="str">
        <f>'SPM-Uspro'!$C$21</f>
        <v>JULI</v>
      </c>
      <c r="B18" s="116">
        <f ca="1">IFERROR(__xludf.DUMMYFUNCTION("IMPORTRANGE(""https://docs.google.com/spreadsheets/d/10iNzN1LqaStEosZKEbqcoOm3IdodNsG31q_nR0Y6WGo/edit#gid=1522333227"",""Rekap UBM!$B$9"")"),1)</f>
        <v>1</v>
      </c>
      <c r="C18" s="116">
        <f ca="1">IFERROR(__xludf.DUMMYFUNCTION("IMPORTRANGE(""https://docs.google.com/spreadsheets/d/10iNzN1LqaStEosZKEbqcoOm3IdodNsG31q_nR0Y6WGo/edit#gid=1522333227"",""Rekap UBM!$C$9"")"),1)</f>
        <v>1</v>
      </c>
      <c r="D18" s="125">
        <f t="shared" ca="1" si="0"/>
        <v>100</v>
      </c>
      <c r="E18" s="116" t="str">
        <f ca="1">IFERROR(__xludf.DUMMYFUNCTION("IMPORTRANGE(""https://docs.google.com/spreadsheets/d/10iNzN1LqaStEosZKEbqcoOm3IdodNsG31q_nR0Y6WGo/edit#gid=1522333227"",""Rekap UBM!$E$9"")"),"")</f>
        <v/>
      </c>
      <c r="F18" s="126" t="str">
        <f ca="1">IFERROR(__xludf.DUMMYFUNCTION("IMPORTRANGE(""https://docs.google.com/spreadsheets/d/10iNzN1LqaStEosZKEbqcoOm3IdodNsG31q_nR0Y6WGo/edit#gid=1522333227"",""Rekap UBM!$F$9"")"),"")</f>
        <v/>
      </c>
      <c r="G18" s="125" t="e">
        <f t="shared" ca="1" si="1"/>
        <v>#VALUE!</v>
      </c>
      <c r="H18" s="126" t="str">
        <f ca="1">IFERROR(__xludf.DUMMYFUNCTION("IMPORTRANGE(""https://docs.google.com/spreadsheets/d/10iNzN1LqaStEosZKEbqcoOm3IdodNsG31q_nR0Y6WGo/edit#gid=1522333227"",""Rekap UBM!$H$9"")"),"")</f>
        <v/>
      </c>
      <c r="I18" s="126" t="str">
        <f ca="1">IFERROR(__xludf.DUMMYFUNCTION("IMPORTRANGE(""https://docs.google.com/spreadsheets/d/10iNzN1LqaStEosZKEbqcoOm3IdodNsG31q_nR0Y6WGo/edit#gid=1522333227"",""Rekap UBM!$I$9"")"),"")</f>
        <v/>
      </c>
      <c r="J18" s="125" t="e">
        <f t="shared" ca="1" si="2"/>
        <v>#VALUE!</v>
      </c>
    </row>
    <row r="19" spans="1:10" x14ac:dyDescent="0.2">
      <c r="A19" s="124" t="str">
        <f>'SPM-Uspro'!$C$22</f>
        <v>AGUSTUS</v>
      </c>
      <c r="B19" s="116">
        <f ca="1">IFERROR(__xludf.DUMMYFUNCTION("IMPORTRANGE(""https://docs.google.com/spreadsheets/d/17PsIU8VcCQeO2M4DM42K9vv32GkafaaF1LxQevQ8tAQ/edit#gid=1892753874"",""Rekap UBM!$B$9"")"),1)</f>
        <v>1</v>
      </c>
      <c r="C19" s="116">
        <f ca="1">IFERROR(__xludf.DUMMYFUNCTION("IMPORTRANGE(""https://docs.google.com/spreadsheets/d/17PsIU8VcCQeO2M4DM42K9vv32GkafaaF1LxQevQ8tAQ/edit#gid=1892753874"",""Rekap UBM!$C$9"")"),0)</f>
        <v>0</v>
      </c>
      <c r="D19" s="125">
        <f t="shared" ca="1" si="0"/>
        <v>0</v>
      </c>
      <c r="E19" s="116" t="str">
        <f ca="1">IFERROR(__xludf.DUMMYFUNCTION("IMPORTRANGE(""https://docs.google.com/spreadsheets/d/17PsIU8VcCQeO2M4DM42K9vv32GkafaaF1LxQevQ8tAQ/edit#gid=1892753874"",""Rekap UBM!$E$9"")"),"")</f>
        <v/>
      </c>
      <c r="F19" s="126" t="str">
        <f ca="1">IFERROR(__xludf.DUMMYFUNCTION("IMPORTRANGE(""https://docs.google.com/spreadsheets/d/17PsIU8VcCQeO2M4DM42K9vv32GkafaaF1LxQevQ8tAQ/edit#gid=1892753874"",""Rekap UBM!$F$9"")"),"")</f>
        <v/>
      </c>
      <c r="G19" s="125" t="e">
        <f t="shared" ca="1" si="1"/>
        <v>#VALUE!</v>
      </c>
      <c r="H19" s="126" t="str">
        <f ca="1">IFERROR(__xludf.DUMMYFUNCTION("IMPORTRANGE(""https://docs.google.com/spreadsheets/d/17PsIU8VcCQeO2M4DM42K9vv32GkafaaF1LxQevQ8tAQ/edit#gid=1892753874"",""Rekap UBM!$H$9"")"),"")</f>
        <v/>
      </c>
      <c r="I19" s="126" t="str">
        <f ca="1">IFERROR(__xludf.DUMMYFUNCTION("IMPORTRANGE(""https://docs.google.com/spreadsheets/d/17PsIU8VcCQeO2M4DM42K9vv32GkafaaF1LxQevQ8tAQ/edit#gid=1892753874"",""Rekap UBM!$I$9"")"),"")</f>
        <v/>
      </c>
      <c r="J19" s="125" t="e">
        <f t="shared" ca="1" si="2"/>
        <v>#VALUE!</v>
      </c>
    </row>
    <row r="20" spans="1:10" x14ac:dyDescent="0.2">
      <c r="A20" s="124" t="str">
        <f>'SPM-Uspro'!$C$23</f>
        <v>SEPTEMBER</v>
      </c>
      <c r="B20" s="116">
        <f ca="1">IFERROR(__xludf.DUMMYFUNCTION("IMPORTRANGE(""https://docs.google.com/spreadsheets/d/1d0Y9C6M4-a1TT0nIK2Gc4IXnbVyxoBB3v7o1biNGAwY/edit#gid=1892753874"",""Rekap UBM!$B$9"")"),1)</f>
        <v>1</v>
      </c>
      <c r="C20" s="116">
        <f ca="1">IFERROR(__xludf.DUMMYFUNCTION("IMPORTRANGE(""https://docs.google.com/spreadsheets/d/1d0Y9C6M4-a1TT0nIK2Gc4IXnbVyxoBB3v7o1biNGAwY/edit#gid=1892753874"",""Rekap UBM!$C$9"")"),1)</f>
        <v>1</v>
      </c>
      <c r="D20" s="125">
        <f t="shared" ca="1" si="0"/>
        <v>100</v>
      </c>
      <c r="E20" s="116">
        <f ca="1">IFERROR(__xludf.DUMMYFUNCTION("IMPORTRANGE(""https://docs.google.com/spreadsheets/d/1d0Y9C6M4-a1TT0nIK2Gc4IXnbVyxoBB3v7o1biNGAwY/edit#gid=1892753874"",""Rekap UBM!$E$9"")"),6)</f>
        <v>6</v>
      </c>
      <c r="F20" s="126">
        <f ca="1">IFERROR(__xludf.DUMMYFUNCTION("IMPORTRANGE(""https://docs.google.com/spreadsheets/d/1d0Y9C6M4-a1TT0nIK2Gc4IXnbVyxoBB3v7o1biNGAwY/edit#gid=1892753874"",""Rekap UBM!$F$9"")"),0)</f>
        <v>0</v>
      </c>
      <c r="G20" s="125">
        <f t="shared" ca="1" si="1"/>
        <v>0</v>
      </c>
      <c r="H20" s="126" t="str">
        <f ca="1">IFERROR(__xludf.DUMMYFUNCTION("IMPORTRANGE(""https://docs.google.com/spreadsheets/d/1d0Y9C6M4-a1TT0nIK2Gc4IXnbVyxoBB3v7o1biNGAwY/edit#gid=1892753874"",""Rekap UBM!$H$9"")"),"")</f>
        <v/>
      </c>
      <c r="I20" s="126">
        <f ca="1">IFERROR(__xludf.DUMMYFUNCTION("IMPORTRANGE(""https://docs.google.com/spreadsheets/d/1d0Y9C6M4-a1TT0nIK2Gc4IXnbVyxoBB3v7o1biNGAwY/edit#gid=1892753874"",""Rekap UBM!$I$9"")"),0)</f>
        <v>0</v>
      </c>
      <c r="J20" s="125" t="e">
        <f t="shared" ca="1" si="2"/>
        <v>#VALUE!</v>
      </c>
    </row>
    <row r="21" spans="1:10" ht="15.75" customHeight="1" x14ac:dyDescent="0.2">
      <c r="A21" s="124" t="str">
        <f>'SPM-Uspro'!$C$24</f>
        <v>TRIBULAN 3</v>
      </c>
      <c r="B21" s="116">
        <f ca="1">IFERROR(__xludf.DUMMYFUNCTION("IMPORTRANGE(""https://docs.google.com/spreadsheets/d/1fXA1yQzUNddp7fjR2KF22o4rRJu9lP9Ja9Oi1mRbg_E/edit#gid=1892753874"",""Rekap UBM!$B$9"")"),1)</f>
        <v>1</v>
      </c>
      <c r="C21" s="116">
        <f ca="1">IFERROR(__xludf.DUMMYFUNCTION("IMPORTRANGE(""https://docs.google.com/spreadsheets/d/1fXA1yQzUNddp7fjR2KF22o4rRJu9lP9Ja9Oi1mRbg_E/edit#gid=1892753874"",""Rekap UBM!$C$9"")"),1)</f>
        <v>1</v>
      </c>
      <c r="D21" s="125">
        <f t="shared" ca="1" si="0"/>
        <v>100</v>
      </c>
      <c r="E21" s="116">
        <f ca="1">IFERROR(__xludf.DUMMYFUNCTION("IMPORTRANGE(""https://docs.google.com/spreadsheets/d/1fXA1yQzUNddp7fjR2KF22o4rRJu9lP9Ja9Oi1mRbg_E/edit#gid=1892753874"",""Rekap UBM!$E$9"")"),1)</f>
        <v>1</v>
      </c>
      <c r="F21" s="126">
        <f ca="1">IFERROR(__xludf.DUMMYFUNCTION("IMPORTRANGE(""https://docs.google.com/spreadsheets/d/1fXA1yQzUNddp7fjR2KF22o4rRJu9lP9Ja9Oi1mRbg_E/edit#gid=1892753874"",""Rekap UBM!$F$9"")"),1)</f>
        <v>1</v>
      </c>
      <c r="G21" s="125">
        <f t="shared" ca="1" si="1"/>
        <v>100</v>
      </c>
      <c r="H21" s="126" t="str">
        <f ca="1">IFERROR(__xludf.DUMMYFUNCTION("IMPORTRANGE(""https://docs.google.com/spreadsheets/d/1fXA1yQzUNddp7fjR2KF22o4rRJu9lP9Ja9Oi1mRbg_E/edit#gid=1892753874"",""Rekap UBM!$H$9"")"),"")</f>
        <v/>
      </c>
      <c r="I21" s="126" t="str">
        <f ca="1">IFERROR(__xludf.DUMMYFUNCTION("IMPORTRANGE(""https://docs.google.com/spreadsheets/d/1fXA1yQzUNddp7fjR2KF22o4rRJu9lP9Ja9Oi1mRbg_E/edit#gid=1892753874"",""Rekap UBM!$I$9"")"),"")</f>
        <v/>
      </c>
      <c r="J21" s="125" t="e">
        <f t="shared" ca="1" si="2"/>
        <v>#VALUE!</v>
      </c>
    </row>
    <row r="22" spans="1:10" ht="15.75" customHeight="1" x14ac:dyDescent="0.2">
      <c r="A22" s="124" t="str">
        <f>'SPM-Uspro'!$C$25</f>
        <v>OKTOBER</v>
      </c>
      <c r="B22" s="116">
        <f ca="1">IFERROR(__xludf.DUMMYFUNCTION("IMPORTRANGE(""https://docs.google.com/spreadsheets/d/155aL1qCqCleHwMP0Y8LT5akEbK27R0RIka-lAkeoeEo/edit#gid=1892753874"",""Rekap UBM!$B$9"")"),1)</f>
        <v>1</v>
      </c>
      <c r="C22" s="116">
        <f ca="1">IFERROR(__xludf.DUMMYFUNCTION("IMPORTRANGE(""https://docs.google.com/spreadsheets/d/155aL1qCqCleHwMP0Y8LT5akEbK27R0RIka-lAkeoeEo/edit#gid=1892753874"",""Rekap UBM!$C$9"")"),1)</f>
        <v>1</v>
      </c>
      <c r="D22" s="125">
        <f t="shared" ca="1" si="0"/>
        <v>100</v>
      </c>
      <c r="E22" s="116">
        <f ca="1">IFERROR(__xludf.DUMMYFUNCTION("IMPORTRANGE(""https://docs.google.com/spreadsheets/d/155aL1qCqCleHwMP0Y8LT5akEbK27R0RIka-lAkeoeEo/edit#gid=1892753874"",""Rekap UBM!$E$9"")"),7)</f>
        <v>7</v>
      </c>
      <c r="F22" s="126">
        <f ca="1">IFERROR(__xludf.DUMMYFUNCTION("IMPORTRANGE(""https://docs.google.com/spreadsheets/d/155aL1qCqCleHwMP0Y8LT5akEbK27R0RIka-lAkeoeEo/edit#gid=1892753874"",""Rekap UBM!$F$9"")"),0)</f>
        <v>0</v>
      </c>
      <c r="G22" s="125">
        <f t="shared" ca="1" si="1"/>
        <v>0</v>
      </c>
      <c r="H22" s="126">
        <f ca="1">IFERROR(__xludf.DUMMYFUNCTION("IMPORTRANGE(""https://docs.google.com/spreadsheets/d/155aL1qCqCleHwMP0Y8LT5akEbK27R0RIka-lAkeoeEo/edit#gid=1892753874"",""Rekap UBM!$H$9"")"),2)</f>
        <v>2</v>
      </c>
      <c r="I22" s="126">
        <f ca="1">IFERROR(__xludf.DUMMYFUNCTION("IMPORTRANGE(""https://docs.google.com/spreadsheets/d/155aL1qCqCleHwMP0Y8LT5akEbK27R0RIka-lAkeoeEo/edit#gid=1892753874"",""Rekap UBM!$I$9"")"),0)</f>
        <v>0</v>
      </c>
      <c r="J22" s="125">
        <f t="shared" ca="1" si="2"/>
        <v>0</v>
      </c>
    </row>
    <row r="23" spans="1:10" ht="15.75" customHeight="1" x14ac:dyDescent="0.2">
      <c r="A23" s="124" t="str">
        <f>'SPM-Uspro'!$C$26</f>
        <v>NOVEMBER</v>
      </c>
      <c r="B23" s="116">
        <f ca="1">IFERROR(__xludf.DUMMYFUNCTION("IMPORTRANGE(""https://docs.google.com/spreadsheets/d/13FRR1udp0c0o6Nmp_8YHiON78PXr-L4FqQQ028JcBYY/edit#gid=1522333227"",""Rekap UBM!$B$9"")"),1)</f>
        <v>1</v>
      </c>
      <c r="C23" s="116">
        <f ca="1">IFERROR(__xludf.DUMMYFUNCTION("IMPORTRANGE(""https://docs.google.com/spreadsheets/d/13FRR1udp0c0o6Nmp_8YHiON78PXr-L4FqQQ028JcBYY/edit#gid=1522333227"",""Rekap UBM!$C$9"")"),1)</f>
        <v>1</v>
      </c>
      <c r="D23" s="125">
        <f t="shared" ca="1" si="0"/>
        <v>100</v>
      </c>
      <c r="E23" s="116">
        <f ca="1">IFERROR(__xludf.DUMMYFUNCTION("IMPORTRANGE(""https://docs.google.com/spreadsheets/d/13FRR1udp0c0o6Nmp_8YHiON78PXr-L4FqQQ028JcBYY/edit#gid=1522333227"",""Rekap UBM!$E$9"")"),0)</f>
        <v>0</v>
      </c>
      <c r="F23" s="126">
        <f ca="1">IFERROR(__xludf.DUMMYFUNCTION("IMPORTRANGE(""https://docs.google.com/spreadsheets/d/13FRR1udp0c0o6Nmp_8YHiON78PXr-L4FqQQ028JcBYY/edit#gid=1522333227"",""Rekap UBM!$F$9"")"),0)</f>
        <v>0</v>
      </c>
      <c r="G23" s="125" t="e">
        <f t="shared" ca="1" si="1"/>
        <v>#DIV/0!</v>
      </c>
      <c r="H23" s="126">
        <f ca="1">IFERROR(__xludf.DUMMYFUNCTION("IMPORTRANGE(""https://docs.google.com/spreadsheets/d/13FRR1udp0c0o6Nmp_8YHiON78PXr-L4FqQQ028JcBYY/edit#gid=1522333227"",""Rekap UBM!$H$9"")"),0)</f>
        <v>0</v>
      </c>
      <c r="I23" s="126">
        <f ca="1">IFERROR(__xludf.DUMMYFUNCTION("IMPORTRANGE(""https://docs.google.com/spreadsheets/d/13FRR1udp0c0o6Nmp_8YHiON78PXr-L4FqQQ028JcBYY/edit#gid=1522333227"",""Rekap UBM!$I$9"")"),0)</f>
        <v>0</v>
      </c>
      <c r="J23" s="125" t="e">
        <f t="shared" ca="1" si="2"/>
        <v>#DIV/0!</v>
      </c>
    </row>
    <row r="24" spans="1:10" ht="15.75" customHeight="1" x14ac:dyDescent="0.2">
      <c r="A24" s="124" t="str">
        <f>'SPM-Uspro'!$C$27</f>
        <v>DESEMBER</v>
      </c>
      <c r="B24" s="116">
        <f ca="1">IFERROR(__xludf.DUMMYFUNCTION("IMPORTRANGE(""https://docs.google.com/spreadsheets/d/1PVwe4VvYfj1Vj424c9kO9TcQogsBM6TpXMbFve9togc/edit#gid=1522333227"",""Rekap UBM!$B$9"")"),1)</f>
        <v>1</v>
      </c>
      <c r="C24" s="116">
        <f ca="1">IFERROR(__xludf.DUMMYFUNCTION("IMPORTRANGE(""https://docs.google.com/spreadsheets/d/1PVwe4VvYfj1Vj424c9kO9TcQogsBM6TpXMbFve9togc/edit#gid=1522333227"",""Rekap UBM!$C$9"")"),1)</f>
        <v>1</v>
      </c>
      <c r="D24" s="125">
        <f t="shared" ca="1" si="0"/>
        <v>100</v>
      </c>
      <c r="E24" s="116">
        <f ca="1">IFERROR(__xludf.DUMMYFUNCTION("IMPORTRANGE(""https://docs.google.com/spreadsheets/d/1PVwe4VvYfj1Vj424c9kO9TcQogsBM6TpXMbFve9togc/edit#gid=1522333227"",""Rekap UBM!$E$9"")"),3)</f>
        <v>3</v>
      </c>
      <c r="F24" s="126">
        <f ca="1">IFERROR(__xludf.DUMMYFUNCTION("IMPORTRANGE(""https://docs.google.com/spreadsheets/d/1PVwe4VvYfj1Vj424c9kO9TcQogsBM6TpXMbFve9togc/edit#gid=1522333227"",""Rekap UBM!$F$9"")"),0)</f>
        <v>0</v>
      </c>
      <c r="G24" s="125">
        <f t="shared" ca="1" si="1"/>
        <v>0</v>
      </c>
      <c r="H24" s="126">
        <f ca="1">IFERROR(__xludf.DUMMYFUNCTION("IMPORTRANGE(""https://docs.google.com/spreadsheets/d/1PVwe4VvYfj1Vj424c9kO9TcQogsBM6TpXMbFve9togc/edit#gid=1522333227"",""Rekap UBM!$H$9"")"),0)</f>
        <v>0</v>
      </c>
      <c r="I24" s="126">
        <f ca="1">IFERROR(__xludf.DUMMYFUNCTION("IMPORTRANGE(""https://docs.google.com/spreadsheets/d/1PVwe4VvYfj1Vj424c9kO9TcQogsBM6TpXMbFve9togc/edit#gid=1522333227"",""Rekap UBM!$I$9"")"),0)</f>
        <v>0</v>
      </c>
      <c r="J24" s="125" t="e">
        <f t="shared" ca="1" si="2"/>
        <v>#DIV/0!</v>
      </c>
    </row>
    <row r="25" spans="1:10" ht="15.75" customHeight="1" x14ac:dyDescent="0.2">
      <c r="A25" s="124" t="str">
        <f>'SPM-Uspro'!$C$28</f>
        <v>TRIBULAN 4</v>
      </c>
      <c r="B25" s="116">
        <f ca="1">IFERROR(__xludf.DUMMYFUNCTION("IMPORTRANGE(""https://docs.google.com/spreadsheets/d/15JUTNcWxWGx3Ha8qvwbxgnbDbT4v7N3vZYvqPZ68_Xg/edit#gid=1892753874"",""Rekap UBM!$B$9"")"),1)</f>
        <v>1</v>
      </c>
      <c r="C25" s="116">
        <f ca="1">IFERROR(__xludf.DUMMYFUNCTION("IMPORTRANGE(""https://docs.google.com/spreadsheets/d/15JUTNcWxWGx3Ha8qvwbxgnbDbT4v7N3vZYvqPZ68_Xg/edit#gid=1892753874"",""Rekap UBM!$C$9"")"),1)</f>
        <v>1</v>
      </c>
      <c r="D25" s="125">
        <f t="shared" ca="1" si="0"/>
        <v>100</v>
      </c>
      <c r="E25" s="116" t="str">
        <f ca="1">IFERROR(__xludf.DUMMYFUNCTION("IMPORTRANGE(""https://docs.google.com/spreadsheets/d/15JUTNcWxWGx3Ha8qvwbxgnbDbT4v7N3vZYvqPZ68_Xg/edit#gid=1892753874"",""Rekap UBM!$E$9"")"),"")</f>
        <v/>
      </c>
      <c r="F25" s="126" t="str">
        <f ca="1">IFERROR(__xludf.DUMMYFUNCTION("IMPORTRANGE(""https://docs.google.com/spreadsheets/d/15JUTNcWxWGx3Ha8qvwbxgnbDbT4v7N3vZYvqPZ68_Xg/edit#gid=1892753874"",""Rekap UBM!$F$9"")"),"")</f>
        <v/>
      </c>
      <c r="G25" s="125" t="e">
        <f t="shared" ca="1" si="1"/>
        <v>#VALUE!</v>
      </c>
      <c r="H25" s="126" t="str">
        <f ca="1">IFERROR(__xludf.DUMMYFUNCTION("IMPORTRANGE(""https://docs.google.com/spreadsheets/d/15JUTNcWxWGx3Ha8qvwbxgnbDbT4v7N3vZYvqPZ68_Xg/edit#gid=1892753874"",""Rekap UBM!$H$9"")"),"")</f>
        <v/>
      </c>
      <c r="I25" s="126" t="str">
        <f ca="1">IFERROR(__xludf.DUMMYFUNCTION("IMPORTRANGE(""https://docs.google.com/spreadsheets/d/15JUTNcWxWGx3Ha8qvwbxgnbDbT4v7N3vZYvqPZ68_Xg/edit#gid=1892753874"",""Rekap UBM!$I$9"")"),"")</f>
        <v/>
      </c>
      <c r="J25" s="125" t="e">
        <f t="shared" ca="1" si="2"/>
        <v>#VALUE!</v>
      </c>
    </row>
    <row r="26" spans="1:10" ht="15.75" customHeight="1" x14ac:dyDescent="0.15"/>
    <row r="27" spans="1:10" ht="15.75" customHeight="1" x14ac:dyDescent="0.2">
      <c r="B27" s="127" t="s">
        <v>65</v>
      </c>
      <c r="C27" s="3"/>
      <c r="D27" s="183" t="s">
        <v>66</v>
      </c>
      <c r="E27" s="163"/>
      <c r="F27" s="163"/>
      <c r="G27" s="163"/>
      <c r="H27" s="163"/>
      <c r="I27" s="163"/>
    </row>
    <row r="28" spans="1:10" ht="15.75" customHeight="1" x14ac:dyDescent="0.2">
      <c r="B28" s="3"/>
      <c r="C28" s="3"/>
      <c r="D28" s="163"/>
      <c r="E28" s="163"/>
      <c r="F28" s="163"/>
      <c r="G28" s="163"/>
      <c r="H28" s="163"/>
      <c r="I28" s="163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SPM-Uspro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2025-01-15T10:01:49Z</dcterms:created>
  <dcterms:modified xsi:type="dcterms:W3CDTF">2025-01-07T07:50:21Z</dcterms:modified>
</cp:coreProperties>
</file>