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xr:revisionPtr revIDLastSave="0" documentId="8_{EDDF5731-1C0C-3840-9D4B-AF5B7F11D11A}" xr6:coauthVersionLast="47" xr6:coauthVersionMax="47" xr10:uidLastSave="{00000000-0000-0000-0000-000000000000}"/>
  <bookViews>
    <workbookView xWindow="630" yWindow="525" windowWidth="22695" windowHeight="11445" xr2:uid="{00000000-000D-0000-FFFF-FFFF00000000}"/>
  </bookViews>
  <sheets>
    <sheet name="Skr. PPOK" sheetId="11" r:id="rId1"/>
    <sheet name="Per Puskesmas - Rekap KTR" sheetId="24" state="hidden" r:id="rId2"/>
    <sheet name="Per Puskesmas Rekap UBM" sheetId="25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25" l="1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T24" i="11"/>
  <c r="T25" i="11"/>
  <c r="T26" i="11"/>
  <c r="T27" i="11"/>
  <c r="S27" i="11"/>
  <c r="R27" i="11"/>
  <c r="S23" i="11"/>
  <c r="R23" i="11"/>
  <c r="R19" i="11"/>
  <c r="R15" i="11"/>
  <c r="R28" i="11"/>
  <c r="T22" i="11"/>
  <c r="T21" i="11"/>
  <c r="T20" i="11"/>
  <c r="T23" i="11"/>
  <c r="T16" i="11"/>
  <c r="T17" i="11"/>
  <c r="T18" i="11"/>
  <c r="T19" i="11"/>
  <c r="S19" i="11"/>
  <c r="S15" i="11"/>
  <c r="T14" i="11"/>
  <c r="T13" i="11"/>
  <c r="E13" i="11"/>
  <c r="E14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T12" i="11"/>
  <c r="U12" i="11"/>
  <c r="T15" i="11"/>
  <c r="H25" i="25"/>
  <c r="F24" i="25"/>
  <c r="B24" i="25"/>
  <c r="H23" i="25"/>
  <c r="F22" i="25"/>
  <c r="B22" i="25"/>
  <c r="H21" i="25"/>
  <c r="F20" i="25"/>
  <c r="B20" i="25"/>
  <c r="H19" i="25"/>
  <c r="F18" i="25"/>
  <c r="B18" i="25"/>
  <c r="H17" i="25"/>
  <c r="F16" i="25"/>
  <c r="B16" i="25"/>
  <c r="H15" i="25"/>
  <c r="F14" i="25"/>
  <c r="B14" i="25"/>
  <c r="H13" i="25"/>
  <c r="F12" i="25"/>
  <c r="B12" i="25"/>
  <c r="H11" i="25"/>
  <c r="F10" i="25"/>
  <c r="B10" i="25"/>
  <c r="G24" i="24"/>
  <c r="C24" i="24"/>
  <c r="G23" i="24"/>
  <c r="C23" i="24"/>
  <c r="G22" i="24"/>
  <c r="C22" i="24"/>
  <c r="G21" i="24"/>
  <c r="C21" i="24"/>
  <c r="G20" i="24"/>
  <c r="C20" i="24"/>
  <c r="G19" i="24"/>
  <c r="C19" i="24"/>
  <c r="G18" i="24"/>
  <c r="C18" i="24"/>
  <c r="G17" i="24"/>
  <c r="C17" i="24"/>
  <c r="G16" i="24"/>
  <c r="C16" i="24"/>
  <c r="G15" i="24"/>
  <c r="C15" i="24"/>
  <c r="G14" i="24"/>
  <c r="C14" i="24"/>
  <c r="G13" i="24"/>
  <c r="C13" i="24"/>
  <c r="G12" i="24"/>
  <c r="C12" i="24"/>
  <c r="G11" i="24"/>
  <c r="C11" i="24"/>
  <c r="G10" i="24"/>
  <c r="C10" i="24"/>
  <c r="G9" i="24"/>
  <c r="C9" i="24"/>
  <c r="C25" i="25"/>
  <c r="I24" i="25"/>
  <c r="E24" i="25"/>
  <c r="C23" i="25"/>
  <c r="I22" i="25"/>
  <c r="E22" i="25"/>
  <c r="C21" i="25"/>
  <c r="I20" i="25"/>
  <c r="E20" i="25"/>
  <c r="C19" i="25"/>
  <c r="I18" i="25"/>
  <c r="F25" i="25"/>
  <c r="B25" i="25"/>
  <c r="H24" i="25"/>
  <c r="F23" i="25"/>
  <c r="B23" i="25"/>
  <c r="H22" i="25"/>
  <c r="F21" i="25"/>
  <c r="B21" i="25"/>
  <c r="H20" i="25"/>
  <c r="F19" i="25"/>
  <c r="B19" i="25"/>
  <c r="H18" i="25"/>
  <c r="F17" i="25"/>
  <c r="B17" i="25"/>
  <c r="H16" i="25"/>
  <c r="F15" i="25"/>
  <c r="B15" i="25"/>
  <c r="H14" i="25"/>
  <c r="F13" i="25"/>
  <c r="B13" i="25"/>
  <c r="H12" i="25"/>
  <c r="F11" i="25"/>
  <c r="B11" i="25"/>
  <c r="H10" i="25"/>
  <c r="I24" i="24"/>
  <c r="E24" i="24"/>
  <c r="I23" i="24"/>
  <c r="E23" i="24"/>
  <c r="I22" i="24"/>
  <c r="E22" i="24"/>
  <c r="I21" i="24"/>
  <c r="E21" i="24"/>
  <c r="I20" i="24"/>
  <c r="E20" i="24"/>
  <c r="I19" i="24"/>
  <c r="E19" i="24"/>
  <c r="I18" i="24"/>
  <c r="E18" i="24"/>
  <c r="I17" i="24"/>
  <c r="E17" i="24"/>
  <c r="I16" i="24"/>
  <c r="E16" i="24"/>
  <c r="I15" i="24"/>
  <c r="E15" i="24"/>
  <c r="I14" i="24"/>
  <c r="E14" i="24"/>
  <c r="I13" i="24"/>
  <c r="E13" i="24"/>
  <c r="I12" i="24"/>
  <c r="E12" i="24"/>
  <c r="I11" i="24"/>
  <c r="E11" i="24"/>
  <c r="I10" i="24"/>
  <c r="E10" i="24"/>
  <c r="I9" i="24"/>
  <c r="E9" i="24"/>
  <c r="I25" i="25"/>
  <c r="E25" i="25"/>
  <c r="C24" i="25"/>
  <c r="I23" i="25"/>
  <c r="E23" i="25"/>
  <c r="C22" i="25"/>
  <c r="I21" i="25"/>
  <c r="E21" i="25"/>
  <c r="C20" i="25"/>
  <c r="I19" i="25"/>
  <c r="E19" i="25"/>
  <c r="C18" i="25"/>
  <c r="I17" i="25"/>
  <c r="E17" i="25"/>
  <c r="C16" i="25"/>
  <c r="I15" i="25"/>
  <c r="E15" i="25"/>
  <c r="C17" i="25"/>
  <c r="I14" i="25"/>
  <c r="C13" i="25"/>
  <c r="E12" i="25"/>
  <c r="I10" i="25"/>
  <c r="P27" i="11"/>
  <c r="L27" i="11"/>
  <c r="H27" i="11"/>
  <c r="P26" i="11"/>
  <c r="L26" i="11"/>
  <c r="H26" i="11"/>
  <c r="P25" i="11"/>
  <c r="L25" i="11"/>
  <c r="H25" i="11"/>
  <c r="P24" i="11"/>
  <c r="L24" i="11"/>
  <c r="H24" i="11"/>
  <c r="N23" i="11"/>
  <c r="J23" i="11"/>
  <c r="F23" i="11"/>
  <c r="N22" i="11"/>
  <c r="J22" i="11"/>
  <c r="F22" i="11"/>
  <c r="N21" i="11"/>
  <c r="J21" i="11"/>
  <c r="F21" i="11"/>
  <c r="N20" i="11"/>
  <c r="J20" i="11"/>
  <c r="F20" i="11"/>
  <c r="P19" i="11"/>
  <c r="L19" i="11"/>
  <c r="H19" i="11"/>
  <c r="P18" i="11"/>
  <c r="L18" i="11"/>
  <c r="H18" i="11"/>
  <c r="P17" i="11"/>
  <c r="L17" i="11"/>
  <c r="H17" i="11"/>
  <c r="P16" i="11"/>
  <c r="L16" i="11"/>
  <c r="H16" i="11"/>
  <c r="N15" i="11"/>
  <c r="J15" i="11"/>
  <c r="F15" i="11"/>
  <c r="N14" i="11"/>
  <c r="J14" i="11"/>
  <c r="F14" i="11"/>
  <c r="N13" i="11"/>
  <c r="J13" i="11"/>
  <c r="F13" i="11"/>
  <c r="N12" i="11"/>
  <c r="J12" i="11"/>
  <c r="F12" i="11"/>
  <c r="E18" i="25"/>
  <c r="I13" i="25"/>
  <c r="C12" i="25"/>
  <c r="E11" i="25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O27" i="11"/>
  <c r="K27" i="11"/>
  <c r="G27" i="11"/>
  <c r="O26" i="11"/>
  <c r="K26" i="11"/>
  <c r="G26" i="11"/>
  <c r="O25" i="11"/>
  <c r="K25" i="11"/>
  <c r="G25" i="11"/>
  <c r="O24" i="11"/>
  <c r="K24" i="11"/>
  <c r="I16" i="25"/>
  <c r="C15" i="25"/>
  <c r="E14" i="25"/>
  <c r="I12" i="25"/>
  <c r="C11" i="25"/>
  <c r="E10" i="25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N27" i="11"/>
  <c r="J27" i="11"/>
  <c r="F27" i="11"/>
  <c r="N26" i="11"/>
  <c r="J26" i="11"/>
  <c r="F26" i="11"/>
  <c r="N25" i="11"/>
  <c r="J25" i="11"/>
  <c r="F25" i="11"/>
  <c r="N24" i="11"/>
  <c r="J24" i="11"/>
  <c r="F24" i="11"/>
  <c r="P23" i="11"/>
  <c r="L23" i="11"/>
  <c r="H23" i="11"/>
  <c r="P22" i="11"/>
  <c r="L22" i="11"/>
  <c r="H22" i="11"/>
  <c r="P21" i="11"/>
  <c r="L21" i="11"/>
  <c r="H21" i="11"/>
  <c r="P20" i="11"/>
  <c r="L20" i="11"/>
  <c r="H20" i="11"/>
  <c r="N19" i="11"/>
  <c r="J19" i="11"/>
  <c r="F19" i="11"/>
  <c r="N18" i="11"/>
  <c r="J18" i="11"/>
  <c r="F18" i="11"/>
  <c r="N17" i="11"/>
  <c r="J17" i="11"/>
  <c r="F17" i="11"/>
  <c r="N16" i="11"/>
  <c r="J16" i="11"/>
  <c r="F16" i="11"/>
  <c r="P15" i="11"/>
  <c r="L15" i="11"/>
  <c r="H15" i="11"/>
  <c r="P14" i="11"/>
  <c r="L14" i="11"/>
  <c r="H14" i="11"/>
  <c r="P13" i="11"/>
  <c r="L13" i="11"/>
  <c r="H13" i="11"/>
  <c r="P12" i="11"/>
  <c r="L12" i="11"/>
  <c r="H12" i="11"/>
  <c r="E16" i="25"/>
  <c r="C14" i="25"/>
  <c r="E13" i="25"/>
  <c r="I11" i="25"/>
  <c r="C10" i="25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Q27" i="11"/>
  <c r="M27" i="11"/>
  <c r="I27" i="11"/>
  <c r="Q26" i="11"/>
  <c r="M26" i="11"/>
  <c r="I26" i="11"/>
  <c r="Q25" i="11"/>
  <c r="M25" i="11"/>
  <c r="I25" i="11"/>
  <c r="Q24" i="11"/>
  <c r="M24" i="11"/>
  <c r="I24" i="11"/>
  <c r="O23" i="11"/>
  <c r="K23" i="11"/>
  <c r="G23" i="11"/>
  <c r="O22" i="11"/>
  <c r="K22" i="11"/>
  <c r="G24" i="11"/>
  <c r="Q23" i="11"/>
  <c r="G22" i="11"/>
  <c r="Q21" i="11"/>
  <c r="I21" i="11"/>
  <c r="K20" i="11"/>
  <c r="Q19" i="11"/>
  <c r="I19" i="11"/>
  <c r="K18" i="11"/>
  <c r="M17" i="11"/>
  <c r="O16" i="11"/>
  <c r="G16" i="11"/>
  <c r="K15" i="11"/>
  <c r="M14" i="11"/>
  <c r="O13" i="11"/>
  <c r="G13" i="11"/>
  <c r="K12" i="11"/>
  <c r="M23" i="11"/>
  <c r="Q22" i="11"/>
  <c r="O21" i="11"/>
  <c r="G21" i="11"/>
  <c r="Q20" i="11"/>
  <c r="I20" i="11"/>
  <c r="O19" i="11"/>
  <c r="G19" i="11"/>
  <c r="Q18" i="11"/>
  <c r="I18" i="11"/>
  <c r="K17" i="11"/>
  <c r="M16" i="11"/>
  <c r="Q15" i="11"/>
  <c r="I15" i="11"/>
  <c r="K14" i="11"/>
  <c r="M13" i="11"/>
  <c r="Q12" i="11"/>
  <c r="I12" i="11"/>
  <c r="I23" i="11"/>
  <c r="M22" i="11"/>
  <c r="M21" i="11"/>
  <c r="O20" i="11"/>
  <c r="G20" i="11"/>
  <c r="M19" i="11"/>
  <c r="O18" i="11"/>
  <c r="G18" i="11"/>
  <c r="Q17" i="11"/>
  <c r="I17" i="11"/>
  <c r="K16" i="11"/>
  <c r="O15" i="11"/>
  <c r="G15" i="11"/>
  <c r="Q14" i="11"/>
  <c r="I14" i="11"/>
  <c r="K13" i="11"/>
  <c r="O12" i="11"/>
  <c r="G12" i="11"/>
  <c r="I22" i="11"/>
  <c r="K21" i="11"/>
  <c r="M20" i="11"/>
  <c r="K19" i="11"/>
  <c r="M18" i="11"/>
  <c r="O17" i="11"/>
  <c r="G17" i="11"/>
  <c r="Q16" i="11"/>
  <c r="I16" i="11"/>
  <c r="M15" i="11"/>
  <c r="O14" i="11"/>
  <c r="G14" i="11"/>
  <c r="Q13" i="11"/>
  <c r="I13" i="11"/>
  <c r="M12" i="11"/>
  <c r="M28" i="11"/>
  <c r="G28" i="11"/>
  <c r="O28" i="11"/>
  <c r="I28" i="11"/>
  <c r="Q28" i="11"/>
  <c r="K28" i="11"/>
  <c r="D10" i="25"/>
  <c r="J11" i="25"/>
  <c r="D14" i="25"/>
  <c r="H28" i="11"/>
  <c r="L28" i="11"/>
  <c r="P28" i="11"/>
  <c r="D11" i="25"/>
  <c r="J12" i="25"/>
  <c r="D15" i="25"/>
  <c r="J16" i="25"/>
  <c r="D12" i="25"/>
  <c r="J13" i="25"/>
  <c r="F28" i="11"/>
  <c r="J28" i="11"/>
  <c r="N28" i="11"/>
  <c r="J10" i="25"/>
  <c r="D13" i="25"/>
  <c r="J14" i="25"/>
  <c r="D17" i="25"/>
  <c r="J15" i="25"/>
  <c r="D16" i="25"/>
  <c r="J17" i="25"/>
  <c r="D18" i="25"/>
  <c r="J19" i="25"/>
  <c r="D20" i="25"/>
  <c r="J21" i="25"/>
  <c r="D22" i="25"/>
  <c r="J23" i="25"/>
  <c r="D24" i="25"/>
  <c r="J25" i="25"/>
  <c r="G11" i="25"/>
  <c r="G13" i="25"/>
  <c r="G15" i="25"/>
  <c r="G17" i="25"/>
  <c r="G19" i="25"/>
  <c r="G21" i="25"/>
  <c r="G23" i="25"/>
  <c r="G25" i="25"/>
  <c r="J18" i="25"/>
  <c r="D19" i="25"/>
  <c r="J20" i="25"/>
  <c r="D21" i="25"/>
  <c r="J22" i="25"/>
  <c r="D23" i="25"/>
  <c r="J24" i="25"/>
  <c r="D25" i="25"/>
  <c r="G10" i="25"/>
  <c r="G12" i="25"/>
  <c r="G14" i="25"/>
  <c r="G16" i="25"/>
  <c r="G18" i="25"/>
  <c r="G20" i="25"/>
  <c r="G22" i="25"/>
  <c r="G24" i="25"/>
  <c r="U14" i="11"/>
  <c r="E15" i="11"/>
  <c r="E16" i="11"/>
  <c r="U15" i="11"/>
  <c r="S28" i="11"/>
  <c r="T28" i="11"/>
  <c r="U13" i="11"/>
  <c r="E17" i="11"/>
  <c r="U16" i="11"/>
  <c r="U17" i="11"/>
  <c r="E18" i="11"/>
  <c r="E19" i="11"/>
  <c r="U18" i="11"/>
  <c r="U19" i="11"/>
  <c r="E20" i="11"/>
  <c r="E21" i="11"/>
  <c r="U20" i="11"/>
  <c r="E22" i="11"/>
  <c r="U21" i="11"/>
  <c r="U22" i="11"/>
  <c r="E23" i="11"/>
  <c r="E24" i="11"/>
  <c r="U23" i="11"/>
  <c r="U24" i="11"/>
  <c r="E25" i="11"/>
  <c r="U25" i="11"/>
  <c r="E26" i="11"/>
  <c r="U26" i="11"/>
  <c r="E27" i="11"/>
  <c r="E28" i="11"/>
  <c r="U28" i="11"/>
  <c r="U27" i="11"/>
</calcChain>
</file>

<file path=xl/sharedStrings.xml><?xml version="1.0" encoding="utf-8"?>
<sst xmlns="http://schemas.openxmlformats.org/spreadsheetml/2006/main" count="97" uniqueCount="70">
  <si>
    <t>PUSKESMAS MOJOLANGU</t>
  </si>
  <si>
    <t>NO</t>
  </si>
  <si>
    <t>BULAN</t>
  </si>
  <si>
    <t>TOTAL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</si>
  <si>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</si>
  <si>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</si>
  <si>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</si>
  <si>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</si>
  <si>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</si>
  <si>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</si>
  <si>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</si>
  <si>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</si>
  <si>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</si>
  <si>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</si>
  <si>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</si>
  <si>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</si>
  <si>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</si>
  <si>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</si>
  <si>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</si>
  <si>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</si>
  <si>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 xml:space="preserve">TOTAL SASARAN </t>
  </si>
  <si>
    <t>Januari</t>
  </si>
  <si>
    <t>April</t>
  </si>
  <si>
    <t>Juli</t>
  </si>
  <si>
    <t>Oktober</t>
  </si>
  <si>
    <t>Februari</t>
  </si>
  <si>
    <t>Mei</t>
  </si>
  <si>
    <t>November</t>
  </si>
  <si>
    <t>Maret</t>
  </si>
  <si>
    <t>Juni</t>
  </si>
  <si>
    <t>September</t>
  </si>
  <si>
    <t>Desember</t>
  </si>
  <si>
    <t>CAPAIAN IKK TAHUN 2024</t>
  </si>
  <si>
    <t>Pesesentase</t>
  </si>
  <si>
    <t xml:space="preserve">            Kembali ke Pilihan Program</t>
  </si>
  <si>
    <t>Keterangan</t>
  </si>
  <si>
    <t>DETEKSI DINI PPOK MENGGUNAKAN KUESIONER PUMA</t>
  </si>
  <si>
    <t>Sasaran : Perokok Usia  ≥ 40 tahun</t>
  </si>
  <si>
    <t>TARGET SASARAN 90%</t>
  </si>
  <si>
    <t>Capaian Bulan</t>
  </si>
  <si>
    <t>Capaian PPOK</t>
  </si>
  <si>
    <t>PUMA &lt; 6</t>
  </si>
  <si>
    <t>PUMA ≥ 6</t>
  </si>
  <si>
    <t>Agustu</t>
  </si>
  <si>
    <t>TARGET SASARAN 70%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</si>
  <si>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</si>
  <si>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</si>
  <si>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</si>
  <si>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</si>
  <si>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</si>
  <si>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</si>
  <si>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</si>
  <si>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</si>
  <si>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</si>
  <si>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 xml:space="preserve">              Kembali ke 
              Pilihan Program</t>
  </si>
  <si>
    <t>download sheet ini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</si>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</sst>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3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sz val="12"/>
      <color theme="1"/>
      <name val="Verdana"/>
    </font>
    <font>
      <b/>
      <sz val="14"/>
      <color theme="1"/>
      <name val="Calibri"/>
    </font>
    <font>
      <b/>
      <sz val="12"/>
      <color rgb="FF000000"/>
      <name val="Arial Narrow"/>
    </font>
    <font>
      <b/>
      <sz val="11"/>
      <color theme="1"/>
      <name val="Arial"/>
    </font>
    <font>
      <sz val="11"/>
      <color rgb="FF000000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sz val="12"/>
      <color rgb="FF000000"/>
      <name val="Arial Narrow"/>
    </font>
    <font>
      <sz val="11"/>
      <color theme="1"/>
      <name val="Bookman Old Style"/>
    </font>
    <font>
      <b/>
      <sz val="11"/>
      <color theme="1"/>
      <name val="Bookman Old Style"/>
    </font>
    <font>
      <b/>
      <u/>
      <sz val="14"/>
      <color rgb="FF000000"/>
      <name val="Calibri"/>
    </font>
    <font>
      <b/>
      <sz val="11"/>
      <color rgb="FF000000"/>
      <name val="Calibri"/>
    </font>
    <font>
      <b/>
      <sz val="14"/>
      <color rgb="FF000000"/>
      <name val="Calibri"/>
    </font>
    <font>
      <b/>
      <u/>
      <sz val="12"/>
      <color rgb="FF1155CC"/>
      <name val="Calibri"/>
    </font>
    <font>
      <b/>
      <u/>
      <sz val="12"/>
      <color rgb="FF1155CC"/>
      <name val="Calibri"/>
    </font>
    <font>
      <b/>
      <u/>
      <sz val="12"/>
      <color rgb="FF980000"/>
      <name val="Calibri"/>
    </font>
    <font>
      <b/>
      <sz val="11"/>
      <color rgb="FF980000"/>
      <name val="Calibri"/>
    </font>
    <font>
      <sz val="11"/>
      <color rgb="FF000000"/>
      <name val="Verdana"/>
    </font>
    <font>
      <b/>
      <sz val="11"/>
      <color rgb="FF000000"/>
      <name val="Arial"/>
    </font>
    <font>
      <b/>
      <u/>
      <sz val="18"/>
      <color rgb="FF000000"/>
      <name val="Calibri"/>
    </font>
    <font>
      <b/>
      <sz val="16"/>
      <color rgb="FF000000"/>
      <name val="Calibri"/>
    </font>
    <font>
      <b/>
      <sz val="13"/>
      <color rgb="FF000000"/>
      <name val="Calibri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rgb="FFB7B7B7"/>
        <bgColor rgb="FFB7B7B7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6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26">
    <xf numFmtId="0" fontId="0" fillId="0" borderId="0" xfId="0" applyFont="1" applyAlignment="1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2" fillId="0" borderId="28" xfId="0" applyFont="1" applyBorder="1" applyAlignment="1">
      <alignment horizontal="center"/>
    </xf>
    <xf numFmtId="0" fontId="13" fillId="0" borderId="29" xfId="0" applyFont="1" applyBorder="1" applyAlignment="1">
      <alignment horizontal="left"/>
    </xf>
    <xf numFmtId="0" fontId="12" fillId="4" borderId="33" xfId="0" applyFont="1" applyFill="1" applyBorder="1" applyAlignment="1">
      <alignment horizontal="center"/>
    </xf>
    <xf numFmtId="0" fontId="14" fillId="4" borderId="34" xfId="0" applyFont="1" applyFill="1" applyBorder="1" applyAlignment="1">
      <alignment horizontal="left"/>
    </xf>
    <xf numFmtId="0" fontId="15" fillId="0" borderId="28" xfId="0" applyFont="1" applyBorder="1" applyAlignment="1">
      <alignment horizontal="center"/>
    </xf>
    <xf numFmtId="0" fontId="12" fillId="4" borderId="36" xfId="0" applyFont="1" applyFill="1" applyBorder="1" applyAlignment="1">
      <alignment horizontal="center"/>
    </xf>
    <xf numFmtId="0" fontId="14" fillId="4" borderId="44" xfId="0" applyFont="1" applyFill="1" applyBorder="1" applyAlignment="1">
      <alignment horizontal="left"/>
    </xf>
    <xf numFmtId="0" fontId="18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2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3" fontId="16" fillId="0" borderId="49" xfId="0" applyNumberFormat="1" applyFont="1" applyBorder="1" applyAlignment="1">
      <alignment horizontal="center" vertical="center"/>
    </xf>
    <xf numFmtId="3" fontId="7" fillId="0" borderId="37" xfId="0" applyNumberFormat="1" applyFont="1" applyBorder="1" applyAlignment="1">
      <alignment horizontal="right"/>
    </xf>
    <xf numFmtId="3" fontId="7" fillId="0" borderId="31" xfId="0" applyNumberFormat="1" applyFont="1" applyBorder="1" applyAlignment="1">
      <alignment horizontal="right"/>
    </xf>
    <xf numFmtId="0" fontId="1" fillId="0" borderId="50" xfId="0" applyFont="1" applyBorder="1" applyAlignment="1">
      <alignment horizontal="center"/>
    </xf>
    <xf numFmtId="3" fontId="16" fillId="0" borderId="50" xfId="0" applyNumberFormat="1" applyFont="1" applyBorder="1" applyAlignment="1">
      <alignment horizontal="center" vertical="center"/>
    </xf>
    <xf numFmtId="3" fontId="17" fillId="4" borderId="50" xfId="0" applyNumberFormat="1" applyFont="1" applyFill="1" applyBorder="1" applyAlignment="1">
      <alignment horizontal="center" vertical="center"/>
    </xf>
    <xf numFmtId="3" fontId="19" fillId="4" borderId="37" xfId="0" applyNumberFormat="1" applyFont="1" applyFill="1" applyBorder="1" applyAlignment="1">
      <alignment horizontal="right"/>
    </xf>
    <xf numFmtId="3" fontId="19" fillId="4" borderId="31" xfId="0" applyNumberFormat="1" applyFont="1" applyFill="1" applyBorder="1" applyAlignment="1">
      <alignment horizontal="right"/>
    </xf>
    <xf numFmtId="3" fontId="17" fillId="4" borderId="51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3" fontId="17" fillId="0" borderId="52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25" fillId="2" borderId="1" xfId="0" applyFont="1" applyFill="1" applyBorder="1"/>
    <xf numFmtId="0" fontId="26" fillId="2" borderId="1" xfId="0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left" vertical="center"/>
    </xf>
    <xf numFmtId="3" fontId="24" fillId="0" borderId="55" xfId="0" applyNumberFormat="1" applyFont="1" applyBorder="1" applyAlignment="1">
      <alignment horizontal="center" vertical="center"/>
    </xf>
    <xf numFmtId="0" fontId="28" fillId="2" borderId="1" xfId="0" applyFont="1" applyFill="1" applyBorder="1"/>
    <xf numFmtId="0" fontId="29" fillId="2" borderId="1" xfId="0" applyFont="1" applyFill="1" applyBorder="1" applyAlignment="1">
      <alignment vertical="top"/>
    </xf>
    <xf numFmtId="0" fontId="3" fillId="5" borderId="35" xfId="0" applyFont="1" applyFill="1" applyBorder="1" applyAlignment="1">
      <alignment horizontal="center" vertical="center"/>
    </xf>
    <xf numFmtId="0" fontId="3" fillId="5" borderId="57" xfId="0" applyFont="1" applyFill="1" applyBorder="1" applyAlignment="1">
      <alignment horizontal="center" vertical="center"/>
    </xf>
    <xf numFmtId="3" fontId="13" fillId="0" borderId="31" xfId="0" applyNumberFormat="1" applyFont="1" applyBorder="1" applyAlignment="1">
      <alignment horizontal="right"/>
    </xf>
    <xf numFmtId="3" fontId="13" fillId="0" borderId="54" xfId="0" applyNumberFormat="1" applyFont="1" applyBorder="1" applyAlignment="1">
      <alignment horizontal="right"/>
    </xf>
    <xf numFmtId="3" fontId="1" fillId="0" borderId="31" xfId="0" applyNumberFormat="1" applyFont="1" applyBorder="1" applyAlignment="1">
      <alignment horizontal="right"/>
    </xf>
    <xf numFmtId="0" fontId="1" fillId="0" borderId="38" xfId="0" applyFont="1" applyBorder="1" applyAlignment="1">
      <alignment horizontal="center"/>
    </xf>
    <xf numFmtId="3" fontId="6" fillId="4" borderId="31" xfId="0" applyNumberFormat="1" applyFont="1" applyFill="1" applyBorder="1" applyAlignment="1">
      <alignment horizontal="right"/>
    </xf>
    <xf numFmtId="0" fontId="6" fillId="4" borderId="38" xfId="0" applyFont="1" applyFill="1" applyBorder="1" applyAlignment="1">
      <alignment horizontal="center"/>
    </xf>
    <xf numFmtId="3" fontId="24" fillId="0" borderId="31" xfId="0" applyNumberFormat="1" applyFont="1" applyBorder="1" applyAlignment="1">
      <alignment horizontal="right" vertical="center"/>
    </xf>
    <xf numFmtId="3" fontId="24" fillId="0" borderId="54" xfId="0" applyNumberFormat="1" applyFont="1" applyBorder="1" applyAlignment="1">
      <alignment horizontal="right" vertical="center"/>
    </xf>
    <xf numFmtId="3" fontId="24" fillId="0" borderId="41" xfId="0" applyNumberFormat="1" applyFont="1" applyBorder="1" applyAlignment="1">
      <alignment horizontal="right" vertical="center"/>
    </xf>
    <xf numFmtId="3" fontId="24" fillId="0" borderId="42" xfId="0" applyNumberFormat="1" applyFont="1" applyBorder="1" applyAlignment="1">
      <alignment horizontal="right" vertical="center"/>
    </xf>
    <xf numFmtId="164" fontId="24" fillId="0" borderId="43" xfId="0" applyNumberFormat="1" applyFont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left" vertical="center"/>
    </xf>
    <xf numFmtId="0" fontId="30" fillId="0" borderId="0" xfId="0" applyFont="1" applyAlignment="1">
      <alignment vertical="center"/>
    </xf>
    <xf numFmtId="0" fontId="30" fillId="0" borderId="0" xfId="0" applyFont="1" applyAlignment="1">
      <alignment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6" fillId="0" borderId="31" xfId="0" applyFont="1" applyBorder="1" applyAlignment="1">
      <alignment horizontal="left"/>
    </xf>
    <xf numFmtId="164" fontId="7" fillId="0" borderId="24" xfId="0" applyNumberFormat="1" applyFont="1" applyBorder="1" applyAlignment="1">
      <alignment horizontal="center"/>
    </xf>
    <xf numFmtId="3" fontId="13" fillId="0" borderId="30" xfId="0" applyNumberFormat="1" applyFont="1" applyBorder="1" applyAlignment="1">
      <alignment horizontal="right"/>
    </xf>
    <xf numFmtId="0" fontId="6" fillId="0" borderId="0" xfId="0" applyFont="1"/>
    <xf numFmtId="0" fontId="4" fillId="3" borderId="45" xfId="0" applyFont="1" applyFill="1" applyBorder="1" applyAlignment="1">
      <alignment horizontal="center" vertical="center" wrapText="1"/>
    </xf>
    <xf numFmtId="0" fontId="2" fillId="0" borderId="46" xfId="0" applyFont="1" applyBorder="1"/>
    <xf numFmtId="0" fontId="2" fillId="0" borderId="49" xfId="0" applyFont="1" applyBorder="1"/>
    <xf numFmtId="0" fontId="11" fillId="0" borderId="47" xfId="0" applyFont="1" applyBorder="1" applyAlignment="1">
      <alignment horizontal="center" vertical="center"/>
    </xf>
    <xf numFmtId="0" fontId="2" fillId="0" borderId="30" xfId="0" applyFont="1" applyBorder="1"/>
    <xf numFmtId="0" fontId="26" fillId="3" borderId="47" xfId="0" applyFont="1" applyFill="1" applyBorder="1" applyAlignment="1">
      <alignment horizontal="center" vertical="center"/>
    </xf>
    <xf numFmtId="0" fontId="26" fillId="3" borderId="16" xfId="0" applyFont="1" applyFill="1" applyBorder="1" applyAlignment="1">
      <alignment horizontal="center" vertical="center"/>
    </xf>
    <xf numFmtId="0" fontId="2" fillId="0" borderId="14" xfId="0" applyFont="1" applyBorder="1"/>
    <xf numFmtId="0" fontId="2" fillId="0" borderId="15" xfId="0" applyFont="1" applyBorder="1"/>
    <xf numFmtId="0" fontId="11" fillId="0" borderId="39" xfId="0" applyFont="1" applyBorder="1" applyAlignment="1">
      <alignment horizontal="center" vertical="center"/>
    </xf>
    <xf numFmtId="0" fontId="2" fillId="0" borderId="25" xfId="0" applyFont="1" applyBorder="1"/>
    <xf numFmtId="0" fontId="2" fillId="0" borderId="59" xfId="0" applyFont="1" applyBorder="1"/>
    <xf numFmtId="0" fontId="4" fillId="3" borderId="58" xfId="0" applyFont="1" applyFill="1" applyBorder="1" applyAlignment="1">
      <alignment horizontal="center" vertical="center" wrapText="1"/>
    </xf>
    <xf numFmtId="0" fontId="2" fillId="0" borderId="60" xfId="0" applyFont="1" applyBorder="1"/>
    <xf numFmtId="0" fontId="4" fillId="3" borderId="62" xfId="0" applyFont="1" applyFill="1" applyBorder="1" applyAlignment="1">
      <alignment horizontal="center" vertical="center" wrapText="1"/>
    </xf>
    <xf numFmtId="0" fontId="2" fillId="0" borderId="28" xfId="0" applyFont="1" applyBorder="1"/>
    <xf numFmtId="0" fontId="4" fillId="3" borderId="40" xfId="0" applyFont="1" applyFill="1" applyBorder="1" applyAlignment="1">
      <alignment horizontal="center" vertical="center" wrapText="1"/>
    </xf>
    <xf numFmtId="0" fontId="2" fillId="0" borderId="29" xfId="0" applyFont="1" applyBorder="1"/>
    <xf numFmtId="0" fontId="10" fillId="0" borderId="17" xfId="0" applyFont="1" applyBorder="1" applyAlignment="1">
      <alignment horizontal="center" vertical="center"/>
    </xf>
    <xf numFmtId="0" fontId="2" fillId="0" borderId="18" xfId="0" applyFont="1" applyBorder="1"/>
    <xf numFmtId="0" fontId="3" fillId="5" borderId="21" xfId="0" applyFont="1" applyFill="1" applyBorder="1" applyAlignment="1">
      <alignment horizontal="center" vertical="center"/>
    </xf>
    <xf numFmtId="0" fontId="2" fillId="0" borderId="22" xfId="0" applyFont="1" applyBorder="1"/>
    <xf numFmtId="0" fontId="2" fillId="0" borderId="61" xfId="0" applyFont="1" applyBorder="1"/>
    <xf numFmtId="0" fontId="5" fillId="2" borderId="2" xfId="0" applyFont="1" applyFill="1" applyBorder="1" applyAlignment="1">
      <alignment horizontal="left" vertical="center" wrapText="1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10" fillId="0" borderId="12" xfId="0" applyFont="1" applyBorder="1" applyAlignment="1">
      <alignment horizontal="center" vertical="center"/>
    </xf>
    <xf numFmtId="0" fontId="2" fillId="0" borderId="19" xfId="0" applyFont="1" applyBorder="1"/>
    <xf numFmtId="0" fontId="10" fillId="0" borderId="13" xfId="0" applyFont="1" applyBorder="1" applyAlignment="1">
      <alignment horizontal="center" vertical="center"/>
    </xf>
    <xf numFmtId="0" fontId="2" fillId="0" borderId="20" xfId="0" applyFont="1" applyBorder="1"/>
    <xf numFmtId="0" fontId="2" fillId="0" borderId="26" xfId="0" applyFont="1" applyBorder="1"/>
    <xf numFmtId="0" fontId="10" fillId="0" borderId="45" xfId="0" applyFont="1" applyBorder="1" applyAlignment="1">
      <alignment horizontal="center" vertical="center" wrapText="1"/>
    </xf>
    <xf numFmtId="0" fontId="2" fillId="0" borderId="48" xfId="0" applyFont="1" applyBorder="1"/>
    <xf numFmtId="0" fontId="4" fillId="5" borderId="27" xfId="0" applyFont="1" applyFill="1" applyBorder="1" applyAlignment="1">
      <alignment horizontal="center" vertical="center"/>
    </xf>
    <xf numFmtId="0" fontId="2" fillId="0" borderId="23" xfId="0" applyFont="1" applyBorder="1"/>
    <xf numFmtId="0" fontId="2" fillId="0" borderId="56" xfId="0" applyFont="1" applyBorder="1"/>
    <xf numFmtId="0" fontId="32" fillId="2" borderId="10" xfId="0" applyFont="1" applyFill="1" applyBorder="1" applyAlignment="1">
      <alignment horizontal="left" vertical="center"/>
    </xf>
    <xf numFmtId="0" fontId="2" fillId="0" borderId="11" xfId="0" applyFont="1" applyBorder="1"/>
    <xf numFmtId="0" fontId="4" fillId="0" borderId="47" xfId="0" applyFont="1" applyBorder="1" applyAlignment="1">
      <alignment horizontal="center" vertical="center" wrapText="1"/>
    </xf>
    <xf numFmtId="0" fontId="2" fillId="0" borderId="53" xfId="0" applyFont="1" applyBorder="1"/>
    <xf numFmtId="0" fontId="4" fillId="0" borderId="54" xfId="0" applyFont="1" applyBorder="1" applyAlignment="1">
      <alignment horizontal="center" vertical="center"/>
    </xf>
    <xf numFmtId="0" fontId="2" fillId="0" borderId="32" xfId="0" applyFont="1" applyBorder="1"/>
    <xf numFmtId="0" fontId="10" fillId="6" borderId="64" xfId="0" applyFont="1" applyFill="1" applyBorder="1" applyAlignment="1">
      <alignment horizontal="center" vertical="center" wrapText="1"/>
    </xf>
    <xf numFmtId="0" fontId="30" fillId="0" borderId="0" xfId="0" applyFont="1" applyAlignment="1">
      <alignment vertical="top" wrapText="1"/>
    </xf>
    <xf numFmtId="0" fontId="0" fillId="0" borderId="0" xfId="0" applyFont="1" applyAlignment="1"/>
    <xf numFmtId="0" fontId="2" fillId="0" borderId="3" xfId="0" applyFont="1" applyBorder="1"/>
    <xf numFmtId="0" fontId="2" fillId="0" borderId="8" xfId="0" applyFont="1" applyBorder="1"/>
    <xf numFmtId="0" fontId="31" fillId="2" borderId="2" xfId="0" applyFont="1" applyFill="1" applyBorder="1" applyAlignment="1">
      <alignment horizontal="center" vertical="center"/>
    </xf>
    <xf numFmtId="0" fontId="2" fillId="0" borderId="63" xfId="0" applyFont="1" applyBorder="1"/>
    <xf numFmtId="0" fontId="10" fillId="7" borderId="54" xfId="0" applyFont="1" applyFill="1" applyBorder="1" applyAlignment="1">
      <alignment horizontal="center" vertical="center"/>
    </xf>
    <xf numFmtId="0" fontId="10" fillId="8" borderId="64" xfId="0" applyFont="1" applyFill="1" applyBorder="1" applyAlignment="1">
      <alignment horizontal="center" vertical="center" wrapText="1"/>
    </xf>
    <xf numFmtId="0" fontId="10" fillId="9" borderId="6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hyperlink" Target="https://docs.google.com/spreadsheets/d/1qTQ54xFW5GCrjVb9Ey-VpqV7AsnuNIx3F-20LTn0_hY/export?format=xlsx&amp;gid=525917830" TargetMode="Externa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hyperlink" Target="https://docs.google.com/spreadsheets/d/1qTQ54xFW5GCrjVb9Ey-VpqV7AsnuNIx3F-20LTn0_hY/export?format=xlsx&amp;gid=233102740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AD1000"/>
  <sheetViews>
    <sheetView showGridLines="0" tabSelected="1" workbookViewId="0">
      <pane xSplit="3" ySplit="8" topLeftCell="D9" activePane="bottomRight" state="frozen"/>
      <selection pane="bottomLeft" activeCell="A9" sqref="A9"/>
      <selection pane="topRight" activeCell="D1" sqref="D1"/>
      <selection pane="bottomRight" activeCell="T17" sqref="T17"/>
    </sheetView>
  </sheetViews>
  <sheetFormatPr defaultColWidth="11.15234375" defaultRowHeight="15" customHeight="1" x14ac:dyDescent="0.15"/>
  <cols>
    <col min="1" max="1" width="3.75" customWidth="1"/>
    <col min="2" max="2" width="5.14453125" customWidth="1"/>
    <col min="3" max="5" width="14.046875" customWidth="1"/>
    <col min="6" max="17" width="11.15234375" hidden="1" customWidth="1"/>
    <col min="18" max="18" width="14.26171875" customWidth="1"/>
    <col min="19" max="19" width="13.19140625" customWidth="1"/>
    <col min="20" max="20" width="14.69140625" customWidth="1"/>
    <col min="21" max="21" width="13.7265625" customWidth="1"/>
    <col min="22" max="22" width="11.90234375" customWidth="1"/>
  </cols>
  <sheetData>
    <row r="1" spans="1:30" ht="18.75" x14ac:dyDescent="0.15">
      <c r="A1" s="1"/>
      <c r="B1" s="94" t="s">
        <v>34</v>
      </c>
      <c r="C1" s="95"/>
      <c r="D1" s="15" t="s">
        <v>0</v>
      </c>
      <c r="E1" s="13"/>
      <c r="F1" s="11"/>
      <c r="G1" s="12"/>
      <c r="H1" s="12"/>
      <c r="I1" s="41"/>
      <c r="J1" s="42"/>
      <c r="K1" s="42"/>
      <c r="L1" s="42"/>
      <c r="M1" s="42"/>
      <c r="N1" s="4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23.25" x14ac:dyDescent="0.15">
      <c r="A2" s="1"/>
      <c r="B2" s="96"/>
      <c r="C2" s="97"/>
      <c r="D2" s="43" t="s">
        <v>32</v>
      </c>
      <c r="E2" s="43"/>
      <c r="F2" s="14"/>
      <c r="G2" s="12"/>
      <c r="H2" s="12"/>
      <c r="I2" s="41"/>
      <c r="J2" s="42"/>
      <c r="K2" s="42"/>
      <c r="L2" s="42"/>
      <c r="M2" s="42"/>
      <c r="N2" s="42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21" x14ac:dyDescent="0.3">
      <c r="A3" s="1"/>
      <c r="B3" s="96"/>
      <c r="C3" s="97"/>
      <c r="D3" s="45" t="s">
        <v>36</v>
      </c>
      <c r="E3" s="45"/>
      <c r="F3" s="16"/>
      <c r="G3" s="16"/>
      <c r="H3" s="16"/>
      <c r="I3" s="41"/>
      <c r="J3" s="42"/>
      <c r="K3" s="42"/>
      <c r="L3" s="42"/>
      <c r="M3" s="42"/>
      <c r="N3" s="42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8" x14ac:dyDescent="0.15">
      <c r="A4" s="1"/>
      <c r="B4" s="98"/>
      <c r="C4" s="99"/>
      <c r="D4" s="46" t="s">
        <v>37</v>
      </c>
      <c r="E4" s="46"/>
      <c r="F4" s="12"/>
      <c r="G4" s="12"/>
      <c r="H4" s="12"/>
      <c r="I4" s="1"/>
      <c r="J4" s="42"/>
      <c r="K4" s="42"/>
      <c r="L4" s="42"/>
      <c r="M4" s="42"/>
      <c r="N4" s="42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26.25" customHeight="1" x14ac:dyDescent="0.15">
      <c r="A5" s="17"/>
      <c r="B5" s="18"/>
      <c r="C5" s="18"/>
      <c r="D5" s="18"/>
      <c r="E5" s="19"/>
      <c r="F5" s="20"/>
      <c r="G5" s="21"/>
      <c r="H5" s="19"/>
      <c r="I5" s="1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</row>
    <row r="6" spans="1:30" ht="19.5" customHeight="1" x14ac:dyDescent="0.15">
      <c r="A6" s="23"/>
      <c r="B6" s="100" t="s">
        <v>1</v>
      </c>
      <c r="C6" s="102" t="s">
        <v>2</v>
      </c>
      <c r="D6" s="105" t="s">
        <v>20</v>
      </c>
      <c r="E6" s="105" t="s">
        <v>38</v>
      </c>
      <c r="F6" s="107" t="s">
        <v>39</v>
      </c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9"/>
      <c r="R6" s="77" t="s">
        <v>40</v>
      </c>
      <c r="S6" s="78"/>
      <c r="T6" s="78"/>
      <c r="U6" s="79"/>
      <c r="V6" s="71" t="s">
        <v>35</v>
      </c>
      <c r="W6" s="24"/>
      <c r="X6" s="24"/>
      <c r="Y6" s="24"/>
      <c r="Z6" s="24"/>
      <c r="AA6" s="24"/>
      <c r="AB6" s="24"/>
      <c r="AC6" s="24"/>
      <c r="AD6" s="24"/>
    </row>
    <row r="7" spans="1:30" ht="19.5" customHeight="1" x14ac:dyDescent="0.15">
      <c r="A7" s="23"/>
      <c r="B7" s="101"/>
      <c r="C7" s="103"/>
      <c r="D7" s="72"/>
      <c r="E7" s="72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8"/>
      <c r="R7" s="80" t="s">
        <v>41</v>
      </c>
      <c r="S7" s="74" t="s">
        <v>42</v>
      </c>
      <c r="T7" s="76" t="s">
        <v>3</v>
      </c>
      <c r="U7" s="83" t="s">
        <v>33</v>
      </c>
      <c r="V7" s="72"/>
      <c r="W7" s="24"/>
      <c r="X7" s="24"/>
      <c r="Y7" s="24"/>
      <c r="Z7" s="24"/>
      <c r="AA7" s="24"/>
      <c r="AB7" s="24"/>
      <c r="AC7" s="24"/>
      <c r="AD7" s="24"/>
    </row>
    <row r="8" spans="1:30" ht="19.5" customHeight="1" x14ac:dyDescent="0.15">
      <c r="A8" s="25"/>
      <c r="B8" s="81"/>
      <c r="C8" s="104"/>
      <c r="D8" s="106"/>
      <c r="E8" s="106"/>
      <c r="F8" s="47" t="s">
        <v>21</v>
      </c>
      <c r="G8" s="47" t="s">
        <v>25</v>
      </c>
      <c r="H8" s="47" t="s">
        <v>28</v>
      </c>
      <c r="I8" s="47" t="s">
        <v>22</v>
      </c>
      <c r="J8" s="47" t="s">
        <v>26</v>
      </c>
      <c r="K8" s="47" t="s">
        <v>29</v>
      </c>
      <c r="L8" s="47" t="s">
        <v>23</v>
      </c>
      <c r="M8" s="47" t="s">
        <v>43</v>
      </c>
      <c r="N8" s="47" t="s">
        <v>30</v>
      </c>
      <c r="O8" s="47" t="s">
        <v>24</v>
      </c>
      <c r="P8" s="47" t="s">
        <v>27</v>
      </c>
      <c r="Q8" s="48" t="s">
        <v>31</v>
      </c>
      <c r="R8" s="81"/>
      <c r="S8" s="82"/>
      <c r="T8" s="82"/>
      <c r="U8" s="84"/>
      <c r="V8" s="73"/>
      <c r="W8" s="26"/>
      <c r="X8" s="26"/>
      <c r="Y8" s="26"/>
      <c r="Z8" s="26"/>
      <c r="AA8" s="26"/>
      <c r="AB8" s="26"/>
      <c r="AC8" s="26"/>
      <c r="AD8" s="26"/>
    </row>
    <row r="9" spans="1:30" ht="19.5" hidden="1" customHeight="1" x14ac:dyDescent="0.15">
      <c r="A9" s="25"/>
      <c r="B9" s="100" t="s">
        <v>1</v>
      </c>
      <c r="C9" s="102" t="s">
        <v>2</v>
      </c>
      <c r="D9" s="105" t="s">
        <v>20</v>
      </c>
      <c r="E9" s="105" t="s">
        <v>44</v>
      </c>
      <c r="F9" s="91" t="s">
        <v>39</v>
      </c>
      <c r="G9" s="92"/>
      <c r="H9" s="92"/>
      <c r="I9" s="92"/>
      <c r="J9" s="92"/>
      <c r="K9" s="92"/>
      <c r="L9" s="92"/>
      <c r="M9" s="92"/>
      <c r="N9" s="92"/>
      <c r="O9" s="92"/>
      <c r="P9" s="92"/>
      <c r="Q9" s="93"/>
      <c r="R9" s="77" t="s">
        <v>40</v>
      </c>
      <c r="S9" s="78"/>
      <c r="T9" s="78"/>
      <c r="U9" s="79"/>
      <c r="V9" s="85" t="s">
        <v>35</v>
      </c>
      <c r="W9" s="26"/>
      <c r="X9" s="26"/>
      <c r="Y9" s="26"/>
      <c r="Z9" s="26"/>
      <c r="AA9" s="26"/>
      <c r="AB9" s="26"/>
      <c r="AC9" s="26"/>
      <c r="AD9" s="26"/>
    </row>
    <row r="10" spans="1:30" ht="15.75" hidden="1" customHeight="1" x14ac:dyDescent="0.15">
      <c r="B10" s="101"/>
      <c r="C10" s="103"/>
      <c r="D10" s="72"/>
      <c r="E10" s="72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8"/>
      <c r="R10" s="80" t="s">
        <v>41</v>
      </c>
      <c r="S10" s="74" t="s">
        <v>42</v>
      </c>
      <c r="T10" s="76" t="s">
        <v>3</v>
      </c>
      <c r="U10" s="87" t="s">
        <v>33</v>
      </c>
      <c r="V10" s="72"/>
    </row>
    <row r="11" spans="1:30" ht="14.25" hidden="1" x14ac:dyDescent="0.15">
      <c r="B11" s="86"/>
      <c r="C11" s="88"/>
      <c r="D11" s="106"/>
      <c r="E11" s="106"/>
      <c r="F11" s="47" t="s">
        <v>21</v>
      </c>
      <c r="G11" s="47" t="s">
        <v>25</v>
      </c>
      <c r="H11" s="47" t="s">
        <v>28</v>
      </c>
      <c r="I11" s="47" t="s">
        <v>22</v>
      </c>
      <c r="J11" s="47" t="s">
        <v>26</v>
      </c>
      <c r="K11" s="47" t="s">
        <v>29</v>
      </c>
      <c r="L11" s="47" t="s">
        <v>23</v>
      </c>
      <c r="M11" s="47" t="s">
        <v>43</v>
      </c>
      <c r="N11" s="47" t="s">
        <v>30</v>
      </c>
      <c r="O11" s="47" t="s">
        <v>24</v>
      </c>
      <c r="P11" s="47" t="s">
        <v>27</v>
      </c>
      <c r="Q11" s="48" t="s">
        <v>31</v>
      </c>
      <c r="R11" s="86"/>
      <c r="S11" s="75"/>
      <c r="T11" s="75"/>
      <c r="U11" s="88"/>
      <c r="V11" s="73"/>
    </row>
    <row r="12" spans="1:30" x14ac:dyDescent="0.2">
      <c r="A12" s="27"/>
      <c r="B12" s="4">
        <v>1</v>
      </c>
      <c r="C12" s="5" t="s">
        <v>4</v>
      </c>
      <c r="D12" s="28">
        <v>6496</v>
      </c>
      <c r="E12" s="28">
        <v>5846</v>
      </c>
      <c r="F12" s="49">
        <f ca="1">IFERROR(__xludf.DUMMYFUNCTION("IMPORTRANGE(""https://docs.google.com/spreadsheets/d/1P0UTisakTE5EAx-MYEjY2DmhSnLNqqRm6P3NrlYXL2I/edit#gid=1892753874"",""Skr. PPOK!$G$8"")"),0)</f>
        <v>0</v>
      </c>
      <c r="G12" s="49">
        <f ca="1">IFERROR(__xludf.DUMMYFUNCTION("IMPORTRANGE(""https://docs.google.com/spreadsheets/d/1P0UTisakTE5EAx-MYEjY2DmhSnLNqqRm6P3NrlYXL2I/edit#gid=1892753874"",""Skr. PPOK!$G$9"")"),0)</f>
        <v>0</v>
      </c>
      <c r="H12" s="49">
        <f ca="1">IFERROR(__xludf.DUMMYFUNCTION("IMPORTRANGE(""https://docs.google.com/spreadsheets/d/1P0UTisakTE5EAx-MYEjY2DmhSnLNqqRm6P3NrlYXL2I/edit#gid=1892753874"",""Skr. PPOK!$G$10"")"),0)</f>
        <v>0</v>
      </c>
      <c r="I12" s="49">
        <f ca="1">IFERROR(__xludf.DUMMYFUNCTION("IMPORTRANGE(""https://docs.google.com/spreadsheets/d/1P0UTisakTE5EAx-MYEjY2DmhSnLNqqRm6P3NrlYXL2I/edit#gid=1892753874"",""Skr. PPOK!$G$12"")"),0)</f>
        <v>0</v>
      </c>
      <c r="J12" s="49">
        <f ca="1">IFERROR(__xludf.DUMMYFUNCTION("IMPORTRANGE(""https://docs.google.com/spreadsheets/d/1P0UTisakTE5EAx-MYEjY2DmhSnLNqqRm6P3NrlYXL2I/edit#gid=1892753874"",""Skr. PPOK!$G$13"")"),0)</f>
        <v>0</v>
      </c>
      <c r="K12" s="49">
        <f ca="1">IFERROR(__xludf.DUMMYFUNCTION("IMPORTRANGE(""https://docs.google.com/spreadsheets/d/1P0UTisakTE5EAx-MYEjY2DmhSnLNqqRm6P3NrlYXL2I/edit#gid=1892753874"",""Skr. PPOK!$G$14"")"),0)</f>
        <v>0</v>
      </c>
      <c r="L12" s="49">
        <f ca="1">IFERROR(__xludf.DUMMYFUNCTION("IMPORTRANGE(""https://docs.google.com/spreadsheets/d/1P0UTisakTE5EAx-MYEjY2DmhSnLNqqRm6P3NrlYXL2I/edit#gid=1892753874"",""Skr. PPOK!$G$16"")"),10)</f>
        <v>10</v>
      </c>
      <c r="M12" s="49">
        <f ca="1">IFERROR(__xludf.DUMMYFUNCTION("IMPORTRANGE(""https://docs.google.com/spreadsheets/d/1P0UTisakTE5EAx-MYEjY2DmhSnLNqqRm6P3NrlYXL2I/edit#gid=1892753874"",""Skr. PPOK!$G$17"")"),10)</f>
        <v>10</v>
      </c>
      <c r="N12" s="49">
        <f ca="1">IFERROR(__xludf.DUMMYFUNCTION("IMPORTRANGE(""https://docs.google.com/spreadsheets/d/1P0UTisakTE5EAx-MYEjY2DmhSnLNqqRm6P3NrlYXL2I/edit#gid=1892753874"",""Skr. PPOK!$G$18"")"),10)</f>
        <v>10</v>
      </c>
      <c r="O12" s="49">
        <f ca="1">IFERROR(__xludf.DUMMYFUNCTION("IMPORTRANGE(""https://docs.google.com/spreadsheets/d/1P0UTisakTE5EAx-MYEjY2DmhSnLNqqRm6P3NrlYXL2I/edit#gid=1892753874"",""Skr. PPOK!$G$20"")"),4)</f>
        <v>4</v>
      </c>
      <c r="P12" s="49">
        <f ca="1">IFERROR(__xludf.DUMMYFUNCTION("IMPORTRANGE(""https://docs.google.com/spreadsheets/d/1P0UTisakTE5EAx-MYEjY2DmhSnLNqqRm6P3NrlYXL2I/edit#gid=1892753874"",""Skr. PPOK!$G$21"")"),25)</f>
        <v>25</v>
      </c>
      <c r="Q12" s="50">
        <f ca="1">IFERROR(__xludf.DUMMYFUNCTION("IMPORTRANGE(""https://docs.google.com/spreadsheets/d/1P0UTisakTE5EAx-MYEjY2DmhSnLNqqRm6P3NrlYXL2I/edit#gid=1892753874"",""Skr. PPOK!$G$22"")"),3)</f>
        <v>3</v>
      </c>
      <c r="R12" s="29">
        <v>59</v>
      </c>
      <c r="S12" s="30">
        <v>0</v>
      </c>
      <c r="T12" s="51">
        <f t="shared" ref="T12:T14" si="0">SUM(R12:S12)</f>
        <v>59</v>
      </c>
      <c r="U12" s="52">
        <f t="shared" ref="U12:U28" si="1">T12/E12*100</f>
        <v>1.0092370851864523</v>
      </c>
      <c r="V12" s="31"/>
    </row>
    <row r="13" spans="1:30" x14ac:dyDescent="0.2">
      <c r="A13" s="27"/>
      <c r="B13" s="4">
        <v>2</v>
      </c>
      <c r="C13" s="5" t="s">
        <v>5</v>
      </c>
      <c r="D13" s="32">
        <f t="shared" ref="D13:E13" si="2">D12</f>
        <v>6496</v>
      </c>
      <c r="E13" s="32">
        <f t="shared" si="2"/>
        <v>5846</v>
      </c>
      <c r="F13" s="49">
        <f ca="1">IFERROR(__xludf.DUMMYFUNCTION("IMPORTRANGE(""https://docs.google.com/spreadsheets/d/1jB-UnyPBzGq1HOZkIVtft_Wo28OEKcZNsVgS5r_boTE/edit#gid=1522333227"",""Skr. PPOK!$G$8"")"),443)</f>
        <v>443</v>
      </c>
      <c r="G13" s="49">
        <f ca="1">IFERROR(__xludf.DUMMYFUNCTION("IMPORTRANGE(""https://docs.google.com/spreadsheets/d/1jB-UnyPBzGq1HOZkIVtft_Wo28OEKcZNsVgS5r_boTE/edit#gid=1522333227"",""Skr. PPOK!$G$9"")"),515)</f>
        <v>515</v>
      </c>
      <c r="H13" s="49">
        <f ca="1">IFERROR(__xludf.DUMMYFUNCTION("IMPORTRANGE(""https://docs.google.com/spreadsheets/d/1jB-UnyPBzGq1HOZkIVtft_Wo28OEKcZNsVgS5r_boTE/edit#gid=1522333227"",""Skr. PPOK!$G$10"")"),415)</f>
        <v>415</v>
      </c>
      <c r="I13" s="49">
        <f ca="1">IFERROR(__xludf.DUMMYFUNCTION("IMPORTRANGE(""https://docs.google.com/spreadsheets/d/1jB-UnyPBzGq1HOZkIVtft_Wo28OEKcZNsVgS5r_boTE/edit#gid=1522333227"",""Skr. PPOK!$G$12"")"),513)</f>
        <v>513</v>
      </c>
      <c r="J13" s="49">
        <f ca="1">IFERROR(__xludf.DUMMYFUNCTION("IMPORTRANGE(""https://docs.google.com/spreadsheets/d/1jB-UnyPBzGq1HOZkIVtft_Wo28OEKcZNsVgS5r_boTE/edit#gid=1522333227"",""Skr. PPOK!$G$13"")"),448)</f>
        <v>448</v>
      </c>
      <c r="K13" s="49">
        <f ca="1">IFERROR(__xludf.DUMMYFUNCTION("IMPORTRANGE(""https://docs.google.com/spreadsheets/d/1jB-UnyPBzGq1HOZkIVtft_Wo28OEKcZNsVgS5r_boTE/edit#gid=1522333227"",""Skr. PPOK!$G$14"")"),509)</f>
        <v>509</v>
      </c>
      <c r="L13" s="49">
        <f ca="1">IFERROR(__xludf.DUMMYFUNCTION("IMPORTRANGE(""https://docs.google.com/spreadsheets/d/1jB-UnyPBzGq1HOZkIVtft_Wo28OEKcZNsVgS5r_boTE/edit#gid=1522333227"",""Skr. PPOK!$G$16"")"),274)</f>
        <v>274</v>
      </c>
      <c r="M13" s="49">
        <f ca="1">IFERROR(__xludf.DUMMYFUNCTION("IMPORTRANGE(""https://docs.google.com/spreadsheets/d/1jB-UnyPBzGq1HOZkIVtft_Wo28OEKcZNsVgS5r_boTE/edit#gid=1522333227"",""Skr. PPOK!$G$17"")"),470)</f>
        <v>470</v>
      </c>
      <c r="N13" s="49">
        <f ca="1">IFERROR(__xludf.DUMMYFUNCTION("IMPORTRANGE(""https://docs.google.com/spreadsheets/d/1jB-UnyPBzGq1HOZkIVtft_Wo28OEKcZNsVgS5r_boTE/edit#gid=1522333227"",""Skr. PPOK!$G$18"")"),576)</f>
        <v>576</v>
      </c>
      <c r="O13" s="49">
        <f ca="1">IFERROR(__xludf.DUMMYFUNCTION("IMPORTRANGE(""https://docs.google.com/spreadsheets/d/1jB-UnyPBzGq1HOZkIVtft_Wo28OEKcZNsVgS5r_boTE/edit#gid=1522333227"",""Skr. PPOK!$G$20"")"),569)</f>
        <v>569</v>
      </c>
      <c r="P13" s="49">
        <f ca="1">IFERROR(__xludf.DUMMYFUNCTION("IMPORTRANGE(""https://docs.google.com/spreadsheets/d/1jB-UnyPBzGq1HOZkIVtft_Wo28OEKcZNsVgS5r_boTE/edit#gid=1522333227"",""Skr. PPOK!$G$21"")"),455)</f>
        <v>455</v>
      </c>
      <c r="Q13" s="50">
        <f ca="1">IFERROR(__xludf.DUMMYFUNCTION("IMPORTRANGE(""https://docs.google.com/spreadsheets/d/1jB-UnyPBzGq1HOZkIVtft_Wo28OEKcZNsVgS5r_boTE/edit#gid=1522333227"",""Skr. PPOK!$G$22"")"),371)</f>
        <v>371</v>
      </c>
      <c r="R13" s="29">
        <v>911</v>
      </c>
      <c r="S13" s="30">
        <v>2</v>
      </c>
      <c r="T13" s="51">
        <f t="shared" si="0"/>
        <v>913</v>
      </c>
      <c r="U13" s="52">
        <f t="shared" si="1"/>
        <v>15.617516250427643</v>
      </c>
      <c r="V13" s="31"/>
    </row>
    <row r="14" spans="1:30" x14ac:dyDescent="0.2">
      <c r="A14" s="27"/>
      <c r="B14" s="4">
        <v>3</v>
      </c>
      <c r="C14" s="5" t="s">
        <v>6</v>
      </c>
      <c r="D14" s="32">
        <f t="shared" ref="D14:E14" si="3">D13</f>
        <v>6496</v>
      </c>
      <c r="E14" s="32">
        <f t="shared" si="3"/>
        <v>5846</v>
      </c>
      <c r="F14" s="49">
        <f ca="1">IFERROR(__xludf.DUMMYFUNCTION("IMPORTRANGE(""https://docs.google.com/spreadsheets/d/1gHFrRpJ5fnyxfJI-jxT5z1B1L7rSV8E5sIZEN90Rfhc/edit#gid=1522333227"",""Skr. PPOK!$G$8"")"),0)</f>
        <v>0</v>
      </c>
      <c r="G14" s="49">
        <f ca="1">IFERROR(__xludf.DUMMYFUNCTION("IMPORTRANGE(""https://docs.google.com/spreadsheets/d/1gHFrRpJ5fnyxfJI-jxT5z1B1L7rSV8E5sIZEN90Rfhc/edit#gid=1522333227"",""Skr. PPOK!$G$9"")"),0)</f>
        <v>0</v>
      </c>
      <c r="H14" s="49">
        <f ca="1">IFERROR(__xludf.DUMMYFUNCTION("IMPORTRANGE(""https://docs.google.com/spreadsheets/d/1gHFrRpJ5fnyxfJI-jxT5z1B1L7rSV8E5sIZEN90Rfhc/edit#gid=1522333227"",""Skr. PPOK!$G$10"")"),0)</f>
        <v>0</v>
      </c>
      <c r="I14" s="49">
        <f ca="1">IFERROR(__xludf.DUMMYFUNCTION("IMPORTRANGE(""https://docs.google.com/spreadsheets/d/1gHFrRpJ5fnyxfJI-jxT5z1B1L7rSV8E5sIZEN90Rfhc/edit#gid=1522333227"",""Skr. PPOK!$G$12"")"),1363)</f>
        <v>1363</v>
      </c>
      <c r="J14" s="49">
        <f ca="1">IFERROR(__xludf.DUMMYFUNCTION("IMPORTRANGE(""https://docs.google.com/spreadsheets/d/1gHFrRpJ5fnyxfJI-jxT5z1B1L7rSV8E5sIZEN90Rfhc/edit#gid=1522333227"",""Skr. PPOK!$G$13"")"),10)</f>
        <v>10</v>
      </c>
      <c r="K14" s="49">
        <f ca="1">IFERROR(__xludf.DUMMYFUNCTION("IMPORTRANGE(""https://docs.google.com/spreadsheets/d/1gHFrRpJ5fnyxfJI-jxT5z1B1L7rSV8E5sIZEN90Rfhc/edit#gid=1522333227"",""Skr. PPOK!$G$14"")"),10)</f>
        <v>10</v>
      </c>
      <c r="L14" s="49">
        <f ca="1">IFERROR(__xludf.DUMMYFUNCTION("IMPORTRANGE(""https://docs.google.com/spreadsheets/d/1gHFrRpJ5fnyxfJI-jxT5z1B1L7rSV8E5sIZEN90Rfhc/edit#gid=1522333227"",""Skr. PPOK!$G$16"")"),10)</f>
        <v>10</v>
      </c>
      <c r="M14" s="49">
        <f ca="1">IFERROR(__xludf.DUMMYFUNCTION("IMPORTRANGE(""https://docs.google.com/spreadsheets/d/1gHFrRpJ5fnyxfJI-jxT5z1B1L7rSV8E5sIZEN90Rfhc/edit#gid=1522333227"",""Skr. PPOK!$G$17"")"),10)</f>
        <v>10</v>
      </c>
      <c r="N14" s="49">
        <f ca="1">IFERROR(__xludf.DUMMYFUNCTION("IMPORTRANGE(""https://docs.google.com/spreadsheets/d/1gHFrRpJ5fnyxfJI-jxT5z1B1L7rSV8E5sIZEN90Rfhc/edit#gid=1522333227"",""Skr. PPOK!$G$18"")"),1238)</f>
        <v>1238</v>
      </c>
      <c r="O14" s="49">
        <f ca="1">IFERROR(__xludf.DUMMYFUNCTION("IMPORTRANGE(""https://docs.google.com/spreadsheets/d/1gHFrRpJ5fnyxfJI-jxT5z1B1L7rSV8E5sIZEN90Rfhc/edit#gid=1522333227"",""Skr. PPOK!$G$20"")"),25)</f>
        <v>25</v>
      </c>
      <c r="P14" s="49">
        <f ca="1">IFERROR(__xludf.DUMMYFUNCTION("IMPORTRANGE(""https://docs.google.com/spreadsheets/d/1gHFrRpJ5fnyxfJI-jxT5z1B1L7rSV8E5sIZEN90Rfhc/edit#gid=1522333227"",""Skr. PPOK!$G$21"")"),5)</f>
        <v>5</v>
      </c>
      <c r="Q14" s="50">
        <f ca="1">IFERROR(__xludf.DUMMYFUNCTION("IMPORTRANGE(""https://docs.google.com/spreadsheets/d/1gHFrRpJ5fnyxfJI-jxT5z1B1L7rSV8E5sIZEN90Rfhc/edit#gid=1522333227"",""Skr. PPOK!$G$22"")"),5)</f>
        <v>5</v>
      </c>
      <c r="R14" s="29">
        <v>768</v>
      </c>
      <c r="S14" s="30">
        <v>0</v>
      </c>
      <c r="T14" s="51">
        <f t="shared" si="0"/>
        <v>768</v>
      </c>
      <c r="U14" s="52">
        <f t="shared" si="1"/>
        <v>13.137187820732125</v>
      </c>
      <c r="V14" s="31"/>
    </row>
    <row r="15" spans="1:30" x14ac:dyDescent="0.2">
      <c r="A15" s="27"/>
      <c r="B15" s="6">
        <v>4</v>
      </c>
      <c r="C15" s="7" t="s">
        <v>7</v>
      </c>
      <c r="D15" s="33">
        <f t="shared" ref="D15:E15" si="4">D14</f>
        <v>6496</v>
      </c>
      <c r="E15" s="33">
        <f t="shared" si="4"/>
        <v>5846</v>
      </c>
      <c r="F15" s="49" t="str">
        <f ca="1">IFERROR(__xludf.DUMMYFUNCTION("IMPORTRANGE(""https://docs.google.com/spreadsheets/d/1saC2UP2JuYJ7WRPxjh8EMf_BSfGZ18Ous8sVKGLr-Ng/edit#gid=1892753874"",""Skr. PPOK!$G$8"")"),"")</f>
        <v/>
      </c>
      <c r="G15" s="49" t="str">
        <f ca="1">IFERROR(__xludf.DUMMYFUNCTION("IMPORTRANGE(""https://docs.google.com/spreadsheets/d/1saC2UP2JuYJ7WRPxjh8EMf_BSfGZ18Ous8sVKGLr-Ng/edit#gid=1892753874"",""Skr. PPOK!$G$9"")"),"")</f>
        <v/>
      </c>
      <c r="H15" s="49" t="str">
        <f ca="1">IFERROR(__xludf.DUMMYFUNCTION("IMPORTRANGE(""https://docs.google.com/spreadsheets/d/1saC2UP2JuYJ7WRPxjh8EMf_BSfGZ18Ous8sVKGLr-Ng/edit#gid=1892753874"",""Skr. PPOK!$G$10"")"),"")</f>
        <v/>
      </c>
      <c r="I15" s="49" t="str">
        <f ca="1">IFERROR(__xludf.DUMMYFUNCTION("IMPORTRANGE(""https://docs.google.com/spreadsheets/d/1saC2UP2JuYJ7WRPxjh8EMf_BSfGZ18Ous8sVKGLr-Ng/edit#gid=1892753874"",""Skr. PPOK!$G$12"")"),"")</f>
        <v/>
      </c>
      <c r="J15" s="49">
        <f ca="1">IFERROR(__xludf.DUMMYFUNCTION("IMPORTRANGE(""https://docs.google.com/spreadsheets/d/1saC2UP2JuYJ7WRPxjh8EMf_BSfGZ18Ous8sVKGLr-Ng/edit#gid=1892753874"",""Skr. PPOK!$G$13"")"),2020)</f>
        <v>2020</v>
      </c>
      <c r="K15" s="49">
        <f ca="1">IFERROR(__xludf.DUMMYFUNCTION("IMPORTRANGE(""https://docs.google.com/spreadsheets/d/1saC2UP2JuYJ7WRPxjh8EMf_BSfGZ18Ous8sVKGLr-Ng/edit#gid=1892753874"",""Skr. PPOK!$G$14"")"),1179)</f>
        <v>1179</v>
      </c>
      <c r="L15" s="49">
        <f ca="1">IFERROR(__xludf.DUMMYFUNCTION("IMPORTRANGE(""https://docs.google.com/spreadsheets/d/1saC2UP2JuYJ7WRPxjh8EMf_BSfGZ18Ous8sVKGLr-Ng/edit#gid=1892753874"",""Skr. PPOK!$G$16"")"),988)</f>
        <v>988</v>
      </c>
      <c r="M15" s="49">
        <f ca="1">IFERROR(__xludf.DUMMYFUNCTION("IMPORTRANGE(""https://docs.google.com/spreadsheets/d/1saC2UP2JuYJ7WRPxjh8EMf_BSfGZ18Ous8sVKGLr-Ng/edit#gid=1892753874"",""Skr. PPOK!$G$17"")"),708)</f>
        <v>708</v>
      </c>
      <c r="N15" s="49">
        <f ca="1">IFERROR(__xludf.DUMMYFUNCTION("IMPORTRANGE(""https://docs.google.com/spreadsheets/d/1saC2UP2JuYJ7WRPxjh8EMf_BSfGZ18Ous8sVKGLr-Ng/edit#gid=1892753874"",""Skr. PPOK!$G$18"")"),815)</f>
        <v>815</v>
      </c>
      <c r="O15" s="49">
        <f ca="1">IFERROR(__xludf.DUMMYFUNCTION("IMPORTRANGE(""https://docs.google.com/spreadsheets/d/1saC2UP2JuYJ7WRPxjh8EMf_BSfGZ18Ous8sVKGLr-Ng/edit#gid=1892753874"",""Skr. PPOK!$G$20"")"),782)</f>
        <v>782</v>
      </c>
      <c r="P15" s="49">
        <f ca="1">IFERROR(__xludf.DUMMYFUNCTION("IMPORTRANGE(""https://docs.google.com/spreadsheets/d/1saC2UP2JuYJ7WRPxjh8EMf_BSfGZ18Ous8sVKGLr-Ng/edit#gid=1892753874"",""Skr. PPOK!$G$21"")"),724)</f>
        <v>724</v>
      </c>
      <c r="Q15" s="50">
        <f ca="1">IFERROR(__xludf.DUMMYFUNCTION("IMPORTRANGE(""https://docs.google.com/spreadsheets/d/1saC2UP2JuYJ7WRPxjh8EMf_BSfGZ18Ous8sVKGLr-Ng/edit#gid=1892753874"",""Skr. PPOK!$G$22"")"),887)</f>
        <v>887</v>
      </c>
      <c r="R15" s="34">
        <f t="shared" ref="R15:T15" si="5">SUM(R12:R14)</f>
        <v>1738</v>
      </c>
      <c r="S15" s="35">
        <f t="shared" si="5"/>
        <v>2</v>
      </c>
      <c r="T15" s="53">
        <f t="shared" si="5"/>
        <v>1740</v>
      </c>
      <c r="U15" s="54">
        <f t="shared" si="1"/>
        <v>29.76394115634622</v>
      </c>
      <c r="V15" s="31"/>
    </row>
    <row r="16" spans="1:30" x14ac:dyDescent="0.2">
      <c r="A16" s="27"/>
      <c r="B16" s="4">
        <v>5</v>
      </c>
      <c r="C16" s="5" t="s">
        <v>8</v>
      </c>
      <c r="D16" s="32">
        <f t="shared" ref="D16:E16" si="6">D15</f>
        <v>6496</v>
      </c>
      <c r="E16" s="32">
        <f t="shared" si="6"/>
        <v>5846</v>
      </c>
      <c r="F16" s="49">
        <f ca="1">IFERROR(__xludf.DUMMYFUNCTION("IMPORTRANGE(""https://docs.google.com/spreadsheets/d/1ApPPV7RPuDI1EDOKjkoDXkV5Yd_NofeQTYTtAHUYGGw/edit#gid=1522333227"",""Skr. PPOK!$G$8"")"),0)</f>
        <v>0</v>
      </c>
      <c r="G16" s="49">
        <f ca="1">IFERROR(__xludf.DUMMYFUNCTION("IMPORTRANGE(""https://docs.google.com/spreadsheets/d/1ApPPV7RPuDI1EDOKjkoDXkV5Yd_NofeQTYTtAHUYGGw/edit#gid=1522333227"",""Skr. PPOK!$G$9"")"),0)</f>
        <v>0</v>
      </c>
      <c r="H16" s="49">
        <f ca="1">IFERROR(__xludf.DUMMYFUNCTION("IMPORTRANGE(""https://docs.google.com/spreadsheets/d/1ApPPV7RPuDI1EDOKjkoDXkV5Yd_NofeQTYTtAHUYGGw/edit#gid=1522333227"",""Skr. PPOK!$G$10"")"),0)</f>
        <v>0</v>
      </c>
      <c r="I16" s="49">
        <f ca="1">IFERROR(__xludf.DUMMYFUNCTION("IMPORTRANGE(""https://docs.google.com/spreadsheets/d/1ApPPV7RPuDI1EDOKjkoDXkV5Yd_NofeQTYTtAHUYGGw/edit#gid=1522333227"",""Skr. PPOK!$G$12"")"),0)</f>
        <v>0</v>
      </c>
      <c r="J16" s="49">
        <f ca="1">IFERROR(__xludf.DUMMYFUNCTION("IMPORTRANGE(""https://docs.google.com/spreadsheets/d/1ApPPV7RPuDI1EDOKjkoDXkV5Yd_NofeQTYTtAHUYGGw/edit#gid=1522333227"",""Skr. PPOK!$G$13"")"),0)</f>
        <v>0</v>
      </c>
      <c r="K16" s="49">
        <f ca="1">IFERROR(__xludf.DUMMYFUNCTION("IMPORTRANGE(""https://docs.google.com/spreadsheets/d/1ApPPV7RPuDI1EDOKjkoDXkV5Yd_NofeQTYTtAHUYGGw/edit#gid=1522333227"",""Skr. PPOK!$G$14"")"),0)</f>
        <v>0</v>
      </c>
      <c r="L16" s="49">
        <f ca="1">IFERROR(__xludf.DUMMYFUNCTION("IMPORTRANGE(""https://docs.google.com/spreadsheets/d/1ApPPV7RPuDI1EDOKjkoDXkV5Yd_NofeQTYTtAHUYGGw/edit#gid=1522333227"",""Skr. PPOK!$G$16"")"),0)</f>
        <v>0</v>
      </c>
      <c r="M16" s="49">
        <f ca="1">IFERROR(__xludf.DUMMYFUNCTION("IMPORTRANGE(""https://docs.google.com/spreadsheets/d/1ApPPV7RPuDI1EDOKjkoDXkV5Yd_NofeQTYTtAHUYGGw/edit#gid=1522333227"",""Skr. PPOK!$G$17"")"),0)</f>
        <v>0</v>
      </c>
      <c r="N16" s="49">
        <f ca="1">IFERROR(__xludf.DUMMYFUNCTION("IMPORTRANGE(""https://docs.google.com/spreadsheets/d/1ApPPV7RPuDI1EDOKjkoDXkV5Yd_NofeQTYTtAHUYGGw/edit#gid=1522333227"",""Skr. PPOK!$G$18"")"),27)</f>
        <v>27</v>
      </c>
      <c r="O16" s="49">
        <f ca="1">IFERROR(__xludf.DUMMYFUNCTION("IMPORTRANGE(""https://docs.google.com/spreadsheets/d/1ApPPV7RPuDI1EDOKjkoDXkV5Yd_NofeQTYTtAHUYGGw/edit#gid=1522333227"",""Skr. PPOK!$G$20"")"),0)</f>
        <v>0</v>
      </c>
      <c r="P16" s="49">
        <f ca="1">IFERROR(__xludf.DUMMYFUNCTION("IMPORTRANGE(""https://docs.google.com/spreadsheets/d/1ApPPV7RPuDI1EDOKjkoDXkV5Yd_NofeQTYTtAHUYGGw/edit#gid=1522333227"",""Skr. PPOK!$G$21"")"),0)</f>
        <v>0</v>
      </c>
      <c r="Q16" s="50">
        <f ca="1">IFERROR(__xludf.DUMMYFUNCTION("IMPORTRANGE(""https://docs.google.com/spreadsheets/d/1ApPPV7RPuDI1EDOKjkoDXkV5Yd_NofeQTYTtAHUYGGw/edit#gid=1522333227"",""Skr. PPOK!$G$22"")"),7)</f>
        <v>7</v>
      </c>
      <c r="R16" s="29">
        <v>14</v>
      </c>
      <c r="S16" s="30">
        <v>0</v>
      </c>
      <c r="T16" s="51">
        <f t="shared" ref="T16:T18" si="7">SUM(R16:S16)</f>
        <v>14</v>
      </c>
      <c r="U16" s="52">
        <f t="shared" si="1"/>
        <v>0.23947998631542936</v>
      </c>
      <c r="V16" s="31"/>
    </row>
    <row r="17" spans="1:30" x14ac:dyDescent="0.2">
      <c r="A17" s="27"/>
      <c r="B17" s="4">
        <v>6</v>
      </c>
      <c r="C17" s="5" t="s">
        <v>9</v>
      </c>
      <c r="D17" s="32">
        <f t="shared" ref="D17:E17" si="8">D16</f>
        <v>6496</v>
      </c>
      <c r="E17" s="32">
        <f t="shared" si="8"/>
        <v>5846</v>
      </c>
      <c r="F17" s="49" t="str">
        <f ca="1">IFERROR(__xludf.DUMMYFUNCTION("IMPORTRANGE(""https://docs.google.com/spreadsheets/d/1iV_nqIfkAdyO_vl_QARxWbfnGcK2KlCCS94aVJ2QbTI/edit#gid=1522333227"",""Skr. PPOK!$G$8"")"),"")</f>
        <v/>
      </c>
      <c r="G17" s="49" t="str">
        <f ca="1">IFERROR(__xludf.DUMMYFUNCTION("IMPORTRANGE(""https://docs.google.com/spreadsheets/d/1iV_nqIfkAdyO_vl_QARxWbfnGcK2KlCCS94aVJ2QbTI/edit#gid=1522333227"",""Skr. PPOK!$G$9"")"),"")</f>
        <v/>
      </c>
      <c r="H17" s="49" t="str">
        <f ca="1">IFERROR(__xludf.DUMMYFUNCTION("IMPORTRANGE(""https://docs.google.com/spreadsheets/d/1iV_nqIfkAdyO_vl_QARxWbfnGcK2KlCCS94aVJ2QbTI/edit#gid=1522333227"",""Skr. PPOK!$G$10"")"),"")</f>
        <v/>
      </c>
      <c r="I17" s="49" t="str">
        <f ca="1">IFERROR(__xludf.DUMMYFUNCTION("IMPORTRANGE(""https://docs.google.com/spreadsheets/d/1iV_nqIfkAdyO_vl_QARxWbfnGcK2KlCCS94aVJ2QbTI/edit#gid=1522333227"",""Skr. PPOK!$G$12"")"),"")</f>
        <v/>
      </c>
      <c r="J17" s="49" t="str">
        <f ca="1">IFERROR(__xludf.DUMMYFUNCTION("IMPORTRANGE(""https://docs.google.com/spreadsheets/d/1iV_nqIfkAdyO_vl_QARxWbfnGcK2KlCCS94aVJ2QbTI/edit#gid=1522333227"",""Skr. PPOK!$G$13"")"),"")</f>
        <v/>
      </c>
      <c r="K17" s="49" t="str">
        <f ca="1">IFERROR(__xludf.DUMMYFUNCTION("IMPORTRANGE(""https://docs.google.com/spreadsheets/d/1iV_nqIfkAdyO_vl_QARxWbfnGcK2KlCCS94aVJ2QbTI/edit#gid=1522333227"",""Skr. PPOK!$G$14"")"),"")</f>
        <v/>
      </c>
      <c r="L17" s="49" t="str">
        <f ca="1">IFERROR(__xludf.DUMMYFUNCTION("IMPORTRANGE(""https://docs.google.com/spreadsheets/d/1iV_nqIfkAdyO_vl_QARxWbfnGcK2KlCCS94aVJ2QbTI/edit#gid=1522333227"",""Skr. PPOK!$G$16"")"),"")</f>
        <v/>
      </c>
      <c r="M17" s="49" t="str">
        <f ca="1">IFERROR(__xludf.DUMMYFUNCTION("IMPORTRANGE(""https://docs.google.com/spreadsheets/d/1iV_nqIfkAdyO_vl_QARxWbfnGcK2KlCCS94aVJ2QbTI/edit#gid=1522333227"",""Skr. PPOK!$G$17"")"),"")</f>
        <v/>
      </c>
      <c r="N17" s="49" t="str">
        <f ca="1">IFERROR(__xludf.DUMMYFUNCTION("IMPORTRANGE(""https://docs.google.com/spreadsheets/d/1iV_nqIfkAdyO_vl_QARxWbfnGcK2KlCCS94aVJ2QbTI/edit#gid=1522333227"",""Skr. PPOK!$G$18"")"),"")</f>
        <v/>
      </c>
      <c r="O17" s="49" t="str">
        <f ca="1">IFERROR(__xludf.DUMMYFUNCTION("IMPORTRANGE(""https://docs.google.com/spreadsheets/d/1iV_nqIfkAdyO_vl_QARxWbfnGcK2KlCCS94aVJ2QbTI/edit#gid=1522333227"",""Skr. PPOK!$G$20"")"),"")</f>
        <v/>
      </c>
      <c r="P17" s="49" t="str">
        <f ca="1">IFERROR(__xludf.DUMMYFUNCTION("IMPORTRANGE(""https://docs.google.com/spreadsheets/d/1iV_nqIfkAdyO_vl_QARxWbfnGcK2KlCCS94aVJ2QbTI/edit#gid=1522333227"",""Skr. PPOK!$G$21"")"),"")</f>
        <v/>
      </c>
      <c r="Q17" s="50" t="str">
        <f ca="1">IFERROR(__xludf.DUMMYFUNCTION("IMPORTRANGE(""https://docs.google.com/spreadsheets/d/1iV_nqIfkAdyO_vl_QARxWbfnGcK2KlCCS94aVJ2QbTI/edit#gid=1522333227"",""Skr. PPOK!$G$22"")"),"")</f>
        <v/>
      </c>
      <c r="R17" s="29"/>
      <c r="S17" s="30"/>
      <c r="T17" s="51">
        <f t="shared" si="7"/>
        <v>0</v>
      </c>
      <c r="U17" s="52">
        <f t="shared" si="1"/>
        <v>0</v>
      </c>
      <c r="V17" s="31"/>
    </row>
    <row r="18" spans="1:30" ht="15.75" x14ac:dyDescent="0.2">
      <c r="A18" s="27"/>
      <c r="B18" s="8">
        <v>7</v>
      </c>
      <c r="C18" s="5" t="s">
        <v>10</v>
      </c>
      <c r="D18" s="32">
        <f t="shared" ref="D18:E18" si="9">D17</f>
        <v>6496</v>
      </c>
      <c r="E18" s="32">
        <f t="shared" si="9"/>
        <v>5846</v>
      </c>
      <c r="F18" s="49">
        <f ca="1">IFERROR(__xludf.DUMMYFUNCTION("IMPORTRANGE(""https://docs.google.com/spreadsheets/d/1zz70Lj6oBg1MOPSG6KJcsMeqBNtXMHYICRkg7kpt_d0/edit#gid=1892753874"",""Skr. PPOK!$G$8"")"),0)</f>
        <v>0</v>
      </c>
      <c r="G18" s="49">
        <f ca="1">IFERROR(__xludf.DUMMYFUNCTION("IMPORTRANGE(""https://docs.google.com/spreadsheets/d/1zz70Lj6oBg1MOPSG6KJcsMeqBNtXMHYICRkg7kpt_d0/edit#gid=1892753874"",""Skr. PPOK!$G$9"")"),0)</f>
        <v>0</v>
      </c>
      <c r="H18" s="49">
        <f ca="1">IFERROR(__xludf.DUMMYFUNCTION("IMPORTRANGE(""https://docs.google.com/spreadsheets/d/1zz70Lj6oBg1MOPSG6KJcsMeqBNtXMHYICRkg7kpt_d0/edit#gid=1892753874"",""Skr. PPOK!$G$10"")"),0)</f>
        <v>0</v>
      </c>
      <c r="I18" s="49">
        <f ca="1">IFERROR(__xludf.DUMMYFUNCTION("IMPORTRANGE(""https://docs.google.com/spreadsheets/d/1zz70Lj6oBg1MOPSG6KJcsMeqBNtXMHYICRkg7kpt_d0/edit#gid=1892753874"",""Skr. PPOK!$G$12"")"),1)</f>
        <v>1</v>
      </c>
      <c r="J18" s="49">
        <f ca="1">IFERROR(__xludf.DUMMYFUNCTION("IMPORTRANGE(""https://docs.google.com/spreadsheets/d/1zz70Lj6oBg1MOPSG6KJcsMeqBNtXMHYICRkg7kpt_d0/edit#gid=1892753874"",""Skr. PPOK!$G$13"")"),3)</f>
        <v>3</v>
      </c>
      <c r="K18" s="49">
        <f ca="1">IFERROR(__xludf.DUMMYFUNCTION("IMPORTRANGE(""https://docs.google.com/spreadsheets/d/1zz70Lj6oBg1MOPSG6KJcsMeqBNtXMHYICRkg7kpt_d0/edit#gid=1892753874"",""Skr. PPOK!$G$14"")"),2)</f>
        <v>2</v>
      </c>
      <c r="L18" s="49">
        <f ca="1">IFERROR(__xludf.DUMMYFUNCTION("IMPORTRANGE(""https://docs.google.com/spreadsheets/d/1zz70Lj6oBg1MOPSG6KJcsMeqBNtXMHYICRkg7kpt_d0/edit#gid=1892753874"",""Skr. PPOK!$G$16"")"),0)</f>
        <v>0</v>
      </c>
      <c r="M18" s="49">
        <f ca="1">IFERROR(__xludf.DUMMYFUNCTION("IMPORTRANGE(""https://docs.google.com/spreadsheets/d/1zz70Lj6oBg1MOPSG6KJcsMeqBNtXMHYICRkg7kpt_d0/edit#gid=1892753874"",""Skr. PPOK!$G$17"")"),0)</f>
        <v>0</v>
      </c>
      <c r="N18" s="49">
        <f ca="1">IFERROR(__xludf.DUMMYFUNCTION("IMPORTRANGE(""https://docs.google.com/spreadsheets/d/1zz70Lj6oBg1MOPSG6KJcsMeqBNtXMHYICRkg7kpt_d0/edit#gid=1892753874"",""Skr. PPOK!$G$18"")"),109)</f>
        <v>109</v>
      </c>
      <c r="O18" s="49">
        <f ca="1">IFERROR(__xludf.DUMMYFUNCTION("IMPORTRANGE(""https://docs.google.com/spreadsheets/d/1zz70Lj6oBg1MOPSG6KJcsMeqBNtXMHYICRkg7kpt_d0/edit#gid=1892753874"",""Skr. PPOK!$G$20"")"),88)</f>
        <v>88</v>
      </c>
      <c r="P18" s="49">
        <f ca="1">IFERROR(__xludf.DUMMYFUNCTION("IMPORTRANGE(""https://docs.google.com/spreadsheets/d/1zz70Lj6oBg1MOPSG6KJcsMeqBNtXMHYICRkg7kpt_d0/edit#gid=1892753874"",""Skr. PPOK!$G$21"")"),189)</f>
        <v>189</v>
      </c>
      <c r="Q18" s="50">
        <f ca="1">IFERROR(__xludf.DUMMYFUNCTION("IMPORTRANGE(""https://docs.google.com/spreadsheets/d/1zz70Lj6oBg1MOPSG6KJcsMeqBNtXMHYICRkg7kpt_d0/edit#gid=1892753874"",""Skr. PPOK!$G$22"")"),10)</f>
        <v>10</v>
      </c>
      <c r="R18" s="29"/>
      <c r="S18" s="30"/>
      <c r="T18" s="51">
        <f t="shared" si="7"/>
        <v>0</v>
      </c>
      <c r="U18" s="52">
        <f t="shared" si="1"/>
        <v>0</v>
      </c>
      <c r="V18" s="31"/>
    </row>
    <row r="19" spans="1:30" x14ac:dyDescent="0.2">
      <c r="A19" s="27"/>
      <c r="B19" s="6">
        <v>8</v>
      </c>
      <c r="C19" s="7" t="s">
        <v>11</v>
      </c>
      <c r="D19" s="33">
        <f t="shared" ref="D19:E19" si="10">D18</f>
        <v>6496</v>
      </c>
      <c r="E19" s="33">
        <f t="shared" si="10"/>
        <v>5846</v>
      </c>
      <c r="F19" s="49">
        <f ca="1">IFERROR(__xludf.DUMMYFUNCTION("IMPORTRANGE(""https://docs.google.com/spreadsheets/d/1773f1iHRnXhbrVjAHR7zUpu3neZdvtp1a2ikB9LJu8U/edit#gid=1522333227"",""Skr. PPOK!$G$8"")"),21)</f>
        <v>21</v>
      </c>
      <c r="G19" s="49">
        <f ca="1">IFERROR(__xludf.DUMMYFUNCTION("IMPORTRANGE(""https://docs.google.com/spreadsheets/d/1773f1iHRnXhbrVjAHR7zUpu3neZdvtp1a2ikB9LJu8U/edit#gid=1522333227"",""Skr. PPOK!$G$9"")"),23)</f>
        <v>23</v>
      </c>
      <c r="H19" s="49">
        <f ca="1">IFERROR(__xludf.DUMMYFUNCTION("IMPORTRANGE(""https://docs.google.com/spreadsheets/d/1773f1iHRnXhbrVjAHR7zUpu3neZdvtp1a2ikB9LJu8U/edit#gid=1522333227"",""Skr. PPOK!$G$10"")"),28.29)</f>
        <v>28.29</v>
      </c>
      <c r="I19" s="49">
        <f ca="1">IFERROR(__xludf.DUMMYFUNCTION("IMPORTRANGE(""https://docs.google.com/spreadsheets/d/1773f1iHRnXhbrVjAHR7zUpu3neZdvtp1a2ikB9LJu8U/edit#gid=1522333227"",""Skr. PPOK!$G$12"")"),29)</f>
        <v>29</v>
      </c>
      <c r="J19" s="49">
        <f ca="1">IFERROR(__xludf.DUMMYFUNCTION("IMPORTRANGE(""https://docs.google.com/spreadsheets/d/1773f1iHRnXhbrVjAHR7zUpu3neZdvtp1a2ikB9LJu8U/edit#gid=1522333227"",""Skr. PPOK!$G$13"")"),23)</f>
        <v>23</v>
      </c>
      <c r="K19" s="49">
        <f ca="1">IFERROR(__xludf.DUMMYFUNCTION("IMPORTRANGE(""https://docs.google.com/spreadsheets/d/1773f1iHRnXhbrVjAHR7zUpu3neZdvtp1a2ikB9LJu8U/edit#gid=1522333227"",""Skr. PPOK!$G$14"")"),26)</f>
        <v>26</v>
      </c>
      <c r="L19" s="49">
        <f ca="1">IFERROR(__xludf.DUMMYFUNCTION("IMPORTRANGE(""https://docs.google.com/spreadsheets/d/1773f1iHRnXhbrVjAHR7zUpu3neZdvtp1a2ikB9LJu8U/edit#gid=1522333227"",""Skr. PPOK!$G$16"")"),27)</f>
        <v>27</v>
      </c>
      <c r="M19" s="49">
        <f ca="1">IFERROR(__xludf.DUMMYFUNCTION("IMPORTRANGE(""https://docs.google.com/spreadsheets/d/1773f1iHRnXhbrVjAHR7zUpu3neZdvtp1a2ikB9LJu8U/edit#gid=1522333227"",""Skr. PPOK!$G$17"")"),31)</f>
        <v>31</v>
      </c>
      <c r="N19" s="49">
        <f ca="1">IFERROR(__xludf.DUMMYFUNCTION("IMPORTRANGE(""https://docs.google.com/spreadsheets/d/1773f1iHRnXhbrVjAHR7zUpu3neZdvtp1a2ikB9LJu8U/edit#gid=1522333227"",""Skr. PPOK!$G$18"")"),12)</f>
        <v>12</v>
      </c>
      <c r="O19" s="49">
        <f ca="1">IFERROR(__xludf.DUMMYFUNCTION("IMPORTRANGE(""https://docs.google.com/spreadsheets/d/1773f1iHRnXhbrVjAHR7zUpu3neZdvtp1a2ikB9LJu8U/edit#gid=1522333227"",""Skr. PPOK!$G$20"")"),16)</f>
        <v>16</v>
      </c>
      <c r="P19" s="49">
        <f ca="1">IFERROR(__xludf.DUMMYFUNCTION("IMPORTRANGE(""https://docs.google.com/spreadsheets/d/1773f1iHRnXhbrVjAHR7zUpu3neZdvtp1a2ikB9LJu8U/edit#gid=1522333227"",""Skr. PPOK!$G$21"")"),15)</f>
        <v>15</v>
      </c>
      <c r="Q19" s="50">
        <f ca="1">IFERROR(__xludf.DUMMYFUNCTION("IMPORTRANGE(""https://docs.google.com/spreadsheets/d/1773f1iHRnXhbrVjAHR7zUpu3neZdvtp1a2ikB9LJu8U/edit#gid=1522333227"",""Skr. PPOK!$G$22"")"),12)</f>
        <v>12</v>
      </c>
      <c r="R19" s="34">
        <f t="shared" ref="R19:T19" si="11">SUM(R16:R18)</f>
        <v>14</v>
      </c>
      <c r="S19" s="35">
        <f t="shared" si="11"/>
        <v>0</v>
      </c>
      <c r="T19" s="53">
        <f t="shared" si="11"/>
        <v>14</v>
      </c>
      <c r="U19" s="54">
        <f t="shared" si="1"/>
        <v>0.23947998631542936</v>
      </c>
      <c r="V19" s="31"/>
    </row>
    <row r="20" spans="1:30" x14ac:dyDescent="0.2">
      <c r="A20" s="27"/>
      <c r="B20" s="4">
        <v>9</v>
      </c>
      <c r="C20" s="5" t="s">
        <v>12</v>
      </c>
      <c r="D20" s="32">
        <f t="shared" ref="D20:E20" si="12">D19</f>
        <v>6496</v>
      </c>
      <c r="E20" s="32">
        <f t="shared" si="12"/>
        <v>5846</v>
      </c>
      <c r="F20" s="49">
        <f ca="1">IFERROR(__xludf.DUMMYFUNCTION("IMPORTRANGE(""https://docs.google.com/spreadsheets/d/10iNzN1LqaStEosZKEbqcoOm3IdodNsG31q_nR0Y6WGo/edit#gid=1522333227"",""Skr. PPOK!$G$8"")"),0)</f>
        <v>0</v>
      </c>
      <c r="G20" s="49">
        <f ca="1">IFERROR(__xludf.DUMMYFUNCTION("IMPORTRANGE(""https://docs.google.com/spreadsheets/d/10iNzN1LqaStEosZKEbqcoOm3IdodNsG31q_nR0Y6WGo/edit#gid=1522333227"",""Skr. PPOK!$G$9"")"),0)</f>
        <v>0</v>
      </c>
      <c r="H20" s="49">
        <f ca="1">IFERROR(__xludf.DUMMYFUNCTION("IMPORTRANGE(""https://docs.google.com/spreadsheets/d/10iNzN1LqaStEosZKEbqcoOm3IdodNsG31q_nR0Y6WGo/edit#gid=1522333227"",""Skr. PPOK!$G$10"")"),0)</f>
        <v>0</v>
      </c>
      <c r="I20" s="49">
        <f ca="1">IFERROR(__xludf.DUMMYFUNCTION("IMPORTRANGE(""https://docs.google.com/spreadsheets/d/10iNzN1LqaStEosZKEbqcoOm3IdodNsG31q_nR0Y6WGo/edit#gid=1522333227"",""Skr. PPOK!$G$12"")"),0)</f>
        <v>0</v>
      </c>
      <c r="J20" s="49">
        <f ca="1">IFERROR(__xludf.DUMMYFUNCTION("IMPORTRANGE(""https://docs.google.com/spreadsheets/d/10iNzN1LqaStEosZKEbqcoOm3IdodNsG31q_nR0Y6WGo/edit#gid=1522333227"",""Skr. PPOK!$G$13"")"),0)</f>
        <v>0</v>
      </c>
      <c r="K20" s="49">
        <f ca="1">IFERROR(__xludf.DUMMYFUNCTION("IMPORTRANGE(""https://docs.google.com/spreadsheets/d/10iNzN1LqaStEosZKEbqcoOm3IdodNsG31q_nR0Y6WGo/edit#gid=1522333227"",""Skr. PPOK!$G$14"")"),0)</f>
        <v>0</v>
      </c>
      <c r="L20" s="49">
        <f ca="1">IFERROR(__xludf.DUMMYFUNCTION("IMPORTRANGE(""https://docs.google.com/spreadsheets/d/10iNzN1LqaStEosZKEbqcoOm3IdodNsG31q_nR0Y6WGo/edit#gid=1522333227"",""Skr. PPOK!$G$16"")"),0)</f>
        <v>0</v>
      </c>
      <c r="M20" s="49">
        <f ca="1">IFERROR(__xludf.DUMMYFUNCTION("IMPORTRANGE(""https://docs.google.com/spreadsheets/d/10iNzN1LqaStEosZKEbqcoOm3IdodNsG31q_nR0Y6WGo/edit#gid=1522333227"",""Skr. PPOK!$G$17"")"),0)</f>
        <v>0</v>
      </c>
      <c r="N20" s="49">
        <f ca="1">IFERROR(__xludf.DUMMYFUNCTION("IMPORTRANGE(""https://docs.google.com/spreadsheets/d/10iNzN1LqaStEosZKEbqcoOm3IdodNsG31q_nR0Y6WGo/edit#gid=1522333227"",""Skr. PPOK!$G$18"")"),37)</f>
        <v>37</v>
      </c>
      <c r="O20" s="49">
        <f ca="1">IFERROR(__xludf.DUMMYFUNCTION("IMPORTRANGE(""https://docs.google.com/spreadsheets/d/10iNzN1LqaStEosZKEbqcoOm3IdodNsG31q_nR0Y6WGo/edit#gid=1522333227"",""Skr. PPOK!$G$20"")"),40)</f>
        <v>40</v>
      </c>
      <c r="P20" s="49">
        <f ca="1">IFERROR(__xludf.DUMMYFUNCTION("IMPORTRANGE(""https://docs.google.com/spreadsheets/d/10iNzN1LqaStEosZKEbqcoOm3IdodNsG31q_nR0Y6WGo/edit#gid=1522333227"",""Skr. PPOK!$G$21"")"),4)</f>
        <v>4</v>
      </c>
      <c r="Q20" s="50">
        <f ca="1">IFERROR(__xludf.DUMMYFUNCTION("IMPORTRANGE(""https://docs.google.com/spreadsheets/d/10iNzN1LqaStEosZKEbqcoOm3IdodNsG31q_nR0Y6WGo/edit#gid=1522333227"",""Skr. PPOK!$G$22"")"),20)</f>
        <v>20</v>
      </c>
      <c r="R20" s="29"/>
      <c r="S20" s="30"/>
      <c r="T20" s="51">
        <f t="shared" ref="T20:T22" si="13">SUM(R20:S20)</f>
        <v>0</v>
      </c>
      <c r="U20" s="52">
        <f t="shared" si="1"/>
        <v>0</v>
      </c>
      <c r="V20" s="31"/>
    </row>
    <row r="21" spans="1:30" ht="15.75" customHeight="1" x14ac:dyDescent="0.2">
      <c r="A21" s="27"/>
      <c r="B21" s="4">
        <v>10</v>
      </c>
      <c r="C21" s="5" t="s">
        <v>13</v>
      </c>
      <c r="D21" s="32">
        <f t="shared" ref="D21:E21" si="14">D20</f>
        <v>6496</v>
      </c>
      <c r="E21" s="32">
        <f t="shared" si="14"/>
        <v>5846</v>
      </c>
      <c r="F21" s="49">
        <f ca="1">IFERROR(__xludf.DUMMYFUNCTION("IMPORTRANGE(""https://docs.google.com/spreadsheets/d/17PsIU8VcCQeO2M4DM42K9vv32GkafaaF1LxQevQ8tAQ/edit#gid=1892753874"",""Skr. PPOK!$G$8"")"),0)</f>
        <v>0</v>
      </c>
      <c r="G21" s="49">
        <f ca="1">IFERROR(__xludf.DUMMYFUNCTION("IMPORTRANGE(""https://docs.google.com/spreadsheets/d/17PsIU8VcCQeO2M4DM42K9vv32GkafaaF1LxQevQ8tAQ/edit#gid=1892753874"",""Skr. PPOK!$G$9"")"),0)</f>
        <v>0</v>
      </c>
      <c r="H21" s="49">
        <f ca="1">IFERROR(__xludf.DUMMYFUNCTION("IMPORTRANGE(""https://docs.google.com/spreadsheets/d/17PsIU8VcCQeO2M4DM42K9vv32GkafaaF1LxQevQ8tAQ/edit#gid=1892753874"",""Skr. PPOK!$G$10"")"),0)</f>
        <v>0</v>
      </c>
      <c r="I21" s="49">
        <f ca="1">IFERROR(__xludf.DUMMYFUNCTION("IMPORTRANGE(""https://docs.google.com/spreadsheets/d/17PsIU8VcCQeO2M4DM42K9vv32GkafaaF1LxQevQ8tAQ/edit#gid=1892753874"",""Skr. PPOK!$G$12"")"),0)</f>
        <v>0</v>
      </c>
      <c r="J21" s="49">
        <f ca="1">IFERROR(__xludf.DUMMYFUNCTION("IMPORTRANGE(""https://docs.google.com/spreadsheets/d/17PsIU8VcCQeO2M4DM42K9vv32GkafaaF1LxQevQ8tAQ/edit#gid=1892753874"",""Skr. PPOK!$G$13"")"),0)</f>
        <v>0</v>
      </c>
      <c r="K21" s="49">
        <f ca="1">IFERROR(__xludf.DUMMYFUNCTION("IMPORTRANGE(""https://docs.google.com/spreadsheets/d/17PsIU8VcCQeO2M4DM42K9vv32GkafaaF1LxQevQ8tAQ/edit#gid=1892753874"",""Skr. PPOK!$G$14"")"),0)</f>
        <v>0</v>
      </c>
      <c r="L21" s="49">
        <f ca="1">IFERROR(__xludf.DUMMYFUNCTION("IMPORTRANGE(""https://docs.google.com/spreadsheets/d/17PsIU8VcCQeO2M4DM42K9vv32GkafaaF1LxQevQ8tAQ/edit#gid=1892753874"",""Skr. PPOK!$G$16"")"),0)</f>
        <v>0</v>
      </c>
      <c r="M21" s="49">
        <f ca="1">IFERROR(__xludf.DUMMYFUNCTION("IMPORTRANGE(""https://docs.google.com/spreadsheets/d/17PsIU8VcCQeO2M4DM42K9vv32GkafaaF1LxQevQ8tAQ/edit#gid=1892753874"",""Skr. PPOK!$G$17"")"),24)</f>
        <v>24</v>
      </c>
      <c r="N21" s="49">
        <f ca="1">IFERROR(__xludf.DUMMYFUNCTION("IMPORTRANGE(""https://docs.google.com/spreadsheets/d/17PsIU8VcCQeO2M4DM42K9vv32GkafaaF1LxQevQ8tAQ/edit#gid=1892753874"",""Skr. PPOK!$G$18"")"),32)</f>
        <v>32</v>
      </c>
      <c r="O21" s="49">
        <f ca="1">IFERROR(__xludf.DUMMYFUNCTION("IMPORTRANGE(""https://docs.google.com/spreadsheets/d/17PsIU8VcCQeO2M4DM42K9vv32GkafaaF1LxQevQ8tAQ/edit#gid=1892753874"",""Skr. PPOK!$G$20"")"),16)</f>
        <v>16</v>
      </c>
      <c r="P21" s="49">
        <f ca="1">IFERROR(__xludf.DUMMYFUNCTION("IMPORTRANGE(""https://docs.google.com/spreadsheets/d/17PsIU8VcCQeO2M4DM42K9vv32GkafaaF1LxQevQ8tAQ/edit#gid=1892753874"",""Skr. PPOK!$G$21"")"),10)</f>
        <v>10</v>
      </c>
      <c r="Q21" s="50">
        <f ca="1">IFERROR(__xludf.DUMMYFUNCTION("IMPORTRANGE(""https://docs.google.com/spreadsheets/d/17PsIU8VcCQeO2M4DM42K9vv32GkafaaF1LxQevQ8tAQ/edit#gid=1892753874"",""Skr. PPOK!$G$22"")"),17)</f>
        <v>17</v>
      </c>
      <c r="R21" s="29"/>
      <c r="S21" s="30"/>
      <c r="T21" s="51">
        <f t="shared" si="13"/>
        <v>0</v>
      </c>
      <c r="U21" s="52">
        <f t="shared" si="1"/>
        <v>0</v>
      </c>
      <c r="V21" s="31"/>
    </row>
    <row r="22" spans="1:30" ht="15.75" customHeight="1" x14ac:dyDescent="0.2">
      <c r="A22" s="27"/>
      <c r="B22" s="4">
        <v>11</v>
      </c>
      <c r="C22" s="5" t="s">
        <v>14</v>
      </c>
      <c r="D22" s="32">
        <f t="shared" ref="D22:E22" si="15">D21</f>
        <v>6496</v>
      </c>
      <c r="E22" s="32">
        <f t="shared" si="15"/>
        <v>5846</v>
      </c>
      <c r="F22" s="49" t="str">
        <f ca="1">IFERROR(__xludf.DUMMYFUNCTION("IMPORTRANGE(""https://docs.google.com/spreadsheets/d/1d0Y9C6M4-a1TT0nIK2Gc4IXnbVyxoBB3v7o1biNGAwY/edit#gid=1892753874"",""Skr. PPOK!$G$8"")"),"")</f>
        <v/>
      </c>
      <c r="G22" s="49" t="str">
        <f ca="1">IFERROR(__xludf.DUMMYFUNCTION("IMPORTRANGE(""https://docs.google.com/spreadsheets/d/1d0Y9C6M4-a1TT0nIK2Gc4IXnbVyxoBB3v7o1biNGAwY/edit#gid=1892753874"",""Skr. PPOK!$G$9"")"),"")</f>
        <v/>
      </c>
      <c r="H22" s="49" t="str">
        <f ca="1">IFERROR(__xludf.DUMMYFUNCTION("IMPORTRANGE(""https://docs.google.com/spreadsheets/d/1d0Y9C6M4-a1TT0nIK2Gc4IXnbVyxoBB3v7o1biNGAwY/edit#gid=1892753874"",""Skr. PPOK!$G$10"")"),"")</f>
        <v/>
      </c>
      <c r="I22" s="49" t="str">
        <f ca="1">IFERROR(__xludf.DUMMYFUNCTION("IMPORTRANGE(""https://docs.google.com/spreadsheets/d/1d0Y9C6M4-a1TT0nIK2Gc4IXnbVyxoBB3v7o1biNGAwY/edit#gid=1892753874"",""Skr. PPOK!$G$12"")"),"")</f>
        <v/>
      </c>
      <c r="J22" s="49" t="str">
        <f ca="1">IFERROR(__xludf.DUMMYFUNCTION("IMPORTRANGE(""https://docs.google.com/spreadsheets/d/1d0Y9C6M4-a1TT0nIK2Gc4IXnbVyxoBB3v7o1biNGAwY/edit#gid=1892753874"",""Skr. PPOK!$G$13"")"),"")</f>
        <v/>
      </c>
      <c r="K22" s="49" t="str">
        <f ca="1">IFERROR(__xludf.DUMMYFUNCTION("IMPORTRANGE(""https://docs.google.com/spreadsheets/d/1d0Y9C6M4-a1TT0nIK2Gc4IXnbVyxoBB3v7o1biNGAwY/edit#gid=1892753874"",""Skr. PPOK!$G$14"")"),"")</f>
        <v/>
      </c>
      <c r="L22" s="49">
        <f ca="1">IFERROR(__xludf.DUMMYFUNCTION("IMPORTRANGE(""https://docs.google.com/spreadsheets/d/1d0Y9C6M4-a1TT0nIK2Gc4IXnbVyxoBB3v7o1biNGAwY/edit#gid=1892753874"",""Skr. PPOK!$G$16"")"),15)</f>
        <v>15</v>
      </c>
      <c r="M22" s="49" t="str">
        <f ca="1">IFERROR(__xludf.DUMMYFUNCTION("IMPORTRANGE(""https://docs.google.com/spreadsheets/d/1d0Y9C6M4-a1TT0nIK2Gc4IXnbVyxoBB3v7o1biNGAwY/edit#gid=1892753874"",""Skr. PPOK!$G$17"")"),"")</f>
        <v/>
      </c>
      <c r="N22" s="49" t="str">
        <f ca="1">IFERROR(__xludf.DUMMYFUNCTION("IMPORTRANGE(""https://docs.google.com/spreadsheets/d/1d0Y9C6M4-a1TT0nIK2Gc4IXnbVyxoBB3v7o1biNGAwY/edit#gid=1892753874"",""Skr. PPOK!$G$18"")"),"")</f>
        <v/>
      </c>
      <c r="O22" s="49" t="str">
        <f ca="1">IFERROR(__xludf.DUMMYFUNCTION("IMPORTRANGE(""https://docs.google.com/spreadsheets/d/1d0Y9C6M4-a1TT0nIK2Gc4IXnbVyxoBB3v7o1biNGAwY/edit#gid=1892753874"",""Skr. PPOK!$G$20"")"),"")</f>
        <v/>
      </c>
      <c r="P22" s="49" t="str">
        <f ca="1">IFERROR(__xludf.DUMMYFUNCTION("IMPORTRANGE(""https://docs.google.com/spreadsheets/d/1d0Y9C6M4-a1TT0nIK2Gc4IXnbVyxoBB3v7o1biNGAwY/edit#gid=1892753874"",""Skr. PPOK!$G$21"")"),"")</f>
        <v/>
      </c>
      <c r="Q22" s="50" t="str">
        <f ca="1">IFERROR(__xludf.DUMMYFUNCTION("IMPORTRANGE(""https://docs.google.com/spreadsheets/d/1d0Y9C6M4-a1TT0nIK2Gc4IXnbVyxoBB3v7o1biNGAwY/edit#gid=1892753874"",""Skr. PPOK!$G$22"")"),"")</f>
        <v/>
      </c>
      <c r="R22" s="29"/>
      <c r="S22" s="30"/>
      <c r="T22" s="51">
        <f t="shared" si="13"/>
        <v>0</v>
      </c>
      <c r="U22" s="52">
        <f t="shared" si="1"/>
        <v>0</v>
      </c>
      <c r="V22" s="31"/>
    </row>
    <row r="23" spans="1:30" ht="15.75" customHeight="1" x14ac:dyDescent="0.2">
      <c r="A23" s="27"/>
      <c r="B23" s="6">
        <v>12</v>
      </c>
      <c r="C23" s="7" t="s">
        <v>15</v>
      </c>
      <c r="D23" s="33">
        <f t="shared" ref="D23:E23" si="16">D22</f>
        <v>6496</v>
      </c>
      <c r="E23" s="33">
        <f t="shared" si="16"/>
        <v>5846</v>
      </c>
      <c r="F23" s="49">
        <f ca="1">IFERROR(__xludf.DUMMYFUNCTION("IMPORTRANGE(""https://docs.google.com/spreadsheets/d/1fXA1yQzUNddp7fjR2KF22o4rRJu9lP9Ja9Oi1mRbg_E/edit#gid=1892753874"",""Skr. PPOK!$G$8"")"),85)</f>
        <v>85</v>
      </c>
      <c r="G23" s="49">
        <f ca="1">IFERROR(__xludf.DUMMYFUNCTION("IMPORTRANGE(""https://docs.google.com/spreadsheets/d/1fXA1yQzUNddp7fjR2KF22o4rRJu9lP9Ja9Oi1mRbg_E/edit#gid=1892753874"",""Skr. PPOK!$G$9"")"),81)</f>
        <v>81</v>
      </c>
      <c r="H23" s="49">
        <f ca="1">IFERROR(__xludf.DUMMYFUNCTION("IMPORTRANGE(""https://docs.google.com/spreadsheets/d/1fXA1yQzUNddp7fjR2KF22o4rRJu9lP9Ja9Oi1mRbg_E/edit#gid=1892753874"",""Skr. PPOK!$G$10"")"),90)</f>
        <v>90</v>
      </c>
      <c r="I23" s="49">
        <f ca="1">IFERROR(__xludf.DUMMYFUNCTION("IMPORTRANGE(""https://docs.google.com/spreadsheets/d/1fXA1yQzUNddp7fjR2KF22o4rRJu9lP9Ja9Oi1mRbg_E/edit#gid=1892753874"",""Skr. PPOK!$G$12"")"),81)</f>
        <v>81</v>
      </c>
      <c r="J23" s="49">
        <f ca="1">IFERROR(__xludf.DUMMYFUNCTION("IMPORTRANGE(""https://docs.google.com/spreadsheets/d/1fXA1yQzUNddp7fjR2KF22o4rRJu9lP9Ja9Oi1mRbg_E/edit#gid=1892753874"",""Skr. PPOK!$G$13"")"),83)</f>
        <v>83</v>
      </c>
      <c r="K23" s="49">
        <f ca="1">IFERROR(__xludf.DUMMYFUNCTION("IMPORTRANGE(""https://docs.google.com/spreadsheets/d/1fXA1yQzUNddp7fjR2KF22o4rRJu9lP9Ja9Oi1mRbg_E/edit#gid=1892753874"",""Skr. PPOK!$G$14"")"),79)</f>
        <v>79</v>
      </c>
      <c r="L23" s="49">
        <f ca="1">IFERROR(__xludf.DUMMYFUNCTION("IMPORTRANGE(""https://docs.google.com/spreadsheets/d/1fXA1yQzUNddp7fjR2KF22o4rRJu9lP9Ja9Oi1mRbg_E/edit#gid=1892753874"",""Skr. PPOK!$G$16"")"),81)</f>
        <v>81</v>
      </c>
      <c r="M23" s="49">
        <f ca="1">IFERROR(__xludf.DUMMYFUNCTION("IMPORTRANGE(""https://docs.google.com/spreadsheets/d/1fXA1yQzUNddp7fjR2KF22o4rRJu9lP9Ja9Oi1mRbg_E/edit#gid=1892753874"",""Skr. PPOK!$G$17"")"),75)</f>
        <v>75</v>
      </c>
      <c r="N23" s="49">
        <f ca="1">IFERROR(__xludf.DUMMYFUNCTION("IMPORTRANGE(""https://docs.google.com/spreadsheets/d/1fXA1yQzUNddp7fjR2KF22o4rRJu9lP9Ja9Oi1mRbg_E/edit#gid=1892753874"",""Skr. PPOK!$G$18"")"),77)</f>
        <v>77</v>
      </c>
      <c r="O23" s="49">
        <f ca="1">IFERROR(__xludf.DUMMYFUNCTION("IMPORTRANGE(""https://docs.google.com/spreadsheets/d/1fXA1yQzUNddp7fjR2KF22o4rRJu9lP9Ja9Oi1mRbg_E/edit#gid=1892753874"",""Skr. PPOK!$G$20"")"),80)</f>
        <v>80</v>
      </c>
      <c r="P23" s="49">
        <f ca="1">IFERROR(__xludf.DUMMYFUNCTION("IMPORTRANGE(""https://docs.google.com/spreadsheets/d/1fXA1yQzUNddp7fjR2KF22o4rRJu9lP9Ja9Oi1mRbg_E/edit#gid=1892753874"",""Skr. PPOK!$G$21"")"),90)</f>
        <v>90</v>
      </c>
      <c r="Q23" s="50">
        <f ca="1">IFERROR(__xludf.DUMMYFUNCTION("IMPORTRANGE(""https://docs.google.com/spreadsheets/d/1fXA1yQzUNddp7fjR2KF22o4rRJu9lP9Ja9Oi1mRbg_E/edit#gid=1892753874"",""Skr. PPOK!$G$22"")"),89)</f>
        <v>89</v>
      </c>
      <c r="R23" s="34">
        <f t="shared" ref="R23:T23" si="17">SUM(R20:R22)</f>
        <v>0</v>
      </c>
      <c r="S23" s="35">
        <f t="shared" si="17"/>
        <v>0</v>
      </c>
      <c r="T23" s="53">
        <f t="shared" si="17"/>
        <v>0</v>
      </c>
      <c r="U23" s="54">
        <f t="shared" si="1"/>
        <v>0</v>
      </c>
      <c r="V23" s="31"/>
    </row>
    <row r="24" spans="1:30" ht="15.75" customHeight="1" x14ac:dyDescent="0.2">
      <c r="A24" s="27"/>
      <c r="B24" s="4">
        <v>13</v>
      </c>
      <c r="C24" s="5" t="s">
        <v>16</v>
      </c>
      <c r="D24" s="32">
        <f t="shared" ref="D24:E24" si="18">D23</f>
        <v>6496</v>
      </c>
      <c r="E24" s="32">
        <f t="shared" si="18"/>
        <v>5846</v>
      </c>
      <c r="F24" s="49">
        <f ca="1">IFERROR(__xludf.DUMMYFUNCTION("IMPORTRANGE(""https://docs.google.com/spreadsheets/d/155aL1qCqCleHwMP0Y8LT5akEbK27R0RIka-lAkeoeEo/edit#gid=1892753874"",""Skr. PPOK!$G$8"")"),0)</f>
        <v>0</v>
      </c>
      <c r="G24" s="49">
        <f ca="1">IFERROR(__xludf.DUMMYFUNCTION("IMPORTRANGE(""https://docs.google.com/spreadsheets/d/155aL1qCqCleHwMP0Y8LT5akEbK27R0RIka-lAkeoeEo/edit#gid=1892753874"",""Skr. PPOK!$G$9"")"),0)</f>
        <v>0</v>
      </c>
      <c r="H24" s="49">
        <f ca="1">IFERROR(__xludf.DUMMYFUNCTION("IMPORTRANGE(""https://docs.google.com/spreadsheets/d/155aL1qCqCleHwMP0Y8LT5akEbK27R0RIka-lAkeoeEo/edit#gid=1892753874"",""Skr. PPOK!$G$10"")"),0)</f>
        <v>0</v>
      </c>
      <c r="I24" s="49">
        <f ca="1">IFERROR(__xludf.DUMMYFUNCTION("IMPORTRANGE(""https://docs.google.com/spreadsheets/d/155aL1qCqCleHwMP0Y8LT5akEbK27R0RIka-lAkeoeEo/edit#gid=1892753874"",""Skr. PPOK!$G$12"")"),6)</f>
        <v>6</v>
      </c>
      <c r="J24" s="49">
        <f ca="1">IFERROR(__xludf.DUMMYFUNCTION("IMPORTRANGE(""https://docs.google.com/spreadsheets/d/155aL1qCqCleHwMP0Y8LT5akEbK27R0RIka-lAkeoeEo/edit#gid=1892753874"",""Skr. PPOK!$G$13"")"),77)</f>
        <v>77</v>
      </c>
      <c r="K24" s="49">
        <f ca="1">IFERROR(__xludf.DUMMYFUNCTION("IMPORTRANGE(""https://docs.google.com/spreadsheets/d/155aL1qCqCleHwMP0Y8LT5akEbK27R0RIka-lAkeoeEo/edit#gid=1892753874"",""Skr. PPOK!$G$14"")"),0)</f>
        <v>0</v>
      </c>
      <c r="L24" s="49">
        <f ca="1">IFERROR(__xludf.DUMMYFUNCTION("IMPORTRANGE(""https://docs.google.com/spreadsheets/d/155aL1qCqCleHwMP0Y8LT5akEbK27R0RIka-lAkeoeEo/edit#gid=1892753874"",""Skr. PPOK!$G$16"")"),0)</f>
        <v>0</v>
      </c>
      <c r="M24" s="49">
        <f ca="1">IFERROR(__xludf.DUMMYFUNCTION("IMPORTRANGE(""https://docs.google.com/spreadsheets/d/155aL1qCqCleHwMP0Y8LT5akEbK27R0RIka-lAkeoeEo/edit#gid=1892753874"",""Skr. PPOK!$G$17"")"),0)</f>
        <v>0</v>
      </c>
      <c r="N24" s="49">
        <f ca="1">IFERROR(__xludf.DUMMYFUNCTION("IMPORTRANGE(""https://docs.google.com/spreadsheets/d/155aL1qCqCleHwMP0Y8LT5akEbK27R0RIka-lAkeoeEo/edit#gid=1892753874"",""Skr. PPOK!$G$18"")"),8)</f>
        <v>8</v>
      </c>
      <c r="O24" s="49">
        <f ca="1">IFERROR(__xludf.DUMMYFUNCTION("IMPORTRANGE(""https://docs.google.com/spreadsheets/d/155aL1qCqCleHwMP0Y8LT5akEbK27R0RIka-lAkeoeEo/edit#gid=1892753874"",""Skr. PPOK!$G$20"")"),52)</f>
        <v>52</v>
      </c>
      <c r="P24" s="49">
        <f ca="1">IFERROR(__xludf.DUMMYFUNCTION("IMPORTRANGE(""https://docs.google.com/spreadsheets/d/155aL1qCqCleHwMP0Y8LT5akEbK27R0RIka-lAkeoeEo/edit#gid=1892753874"",""Skr. PPOK!$G$21"")"),35)</f>
        <v>35</v>
      </c>
      <c r="Q24" s="50">
        <f ca="1">IFERROR(__xludf.DUMMYFUNCTION("IMPORTRANGE(""https://docs.google.com/spreadsheets/d/155aL1qCqCleHwMP0Y8LT5akEbK27R0RIka-lAkeoeEo/edit#gid=1892753874"",""Skr. PPOK!$G$22"")"),0)</f>
        <v>0</v>
      </c>
      <c r="R24" s="29"/>
      <c r="S24" s="30"/>
      <c r="T24" s="51">
        <f t="shared" ref="T24:T26" si="19">SUM(R24:S24)</f>
        <v>0</v>
      </c>
      <c r="U24" s="52">
        <f t="shared" si="1"/>
        <v>0</v>
      </c>
      <c r="V24" s="31"/>
    </row>
    <row r="25" spans="1:30" ht="15.75" customHeight="1" x14ac:dyDescent="0.2">
      <c r="A25" s="27"/>
      <c r="B25" s="4">
        <v>14</v>
      </c>
      <c r="C25" s="5" t="s">
        <v>17</v>
      </c>
      <c r="D25" s="32">
        <f t="shared" ref="D25:E25" si="20">D24</f>
        <v>6496</v>
      </c>
      <c r="E25" s="32">
        <f t="shared" si="20"/>
        <v>5846</v>
      </c>
      <c r="F25" s="49" t="str">
        <f ca="1">IFERROR(__xludf.DUMMYFUNCTION("IMPORTRANGE(""https://docs.google.com/spreadsheets/d/13FRR1udp0c0o6Nmp_8YHiON78PXr-L4FqQQ028JcBYY/edit#gid=1522333227"",""Skr. PPOK!$G$8"")"),"")</f>
        <v/>
      </c>
      <c r="G25" s="49" t="str">
        <f ca="1">IFERROR(__xludf.DUMMYFUNCTION("IMPORTRANGE(""https://docs.google.com/spreadsheets/d/13FRR1udp0c0o6Nmp_8YHiON78PXr-L4FqQQ028JcBYY/edit#gid=1522333227"",""Skr. PPOK!$G$9"")"),"")</f>
        <v/>
      </c>
      <c r="H25" s="49" t="str">
        <f ca="1">IFERROR(__xludf.DUMMYFUNCTION("IMPORTRANGE(""https://docs.google.com/spreadsheets/d/13FRR1udp0c0o6Nmp_8YHiON78PXr-L4FqQQ028JcBYY/edit#gid=1522333227"",""Skr. PPOK!$G$10"")"),"")</f>
        <v/>
      </c>
      <c r="I25" s="49" t="str">
        <f ca="1">IFERROR(__xludf.DUMMYFUNCTION("IMPORTRANGE(""https://docs.google.com/spreadsheets/d/13FRR1udp0c0o6Nmp_8YHiON78PXr-L4FqQQ028JcBYY/edit#gid=1522333227"",""Skr. PPOK!$G$12"")"),"")</f>
        <v/>
      </c>
      <c r="J25" s="49" t="str">
        <f ca="1">IFERROR(__xludf.DUMMYFUNCTION("IMPORTRANGE(""https://docs.google.com/spreadsheets/d/13FRR1udp0c0o6Nmp_8YHiON78PXr-L4FqQQ028JcBYY/edit#gid=1522333227"",""Skr. PPOK!$G$13"")"),"")</f>
        <v/>
      </c>
      <c r="K25" s="49" t="str">
        <f ca="1">IFERROR(__xludf.DUMMYFUNCTION("IMPORTRANGE(""https://docs.google.com/spreadsheets/d/13FRR1udp0c0o6Nmp_8YHiON78PXr-L4FqQQ028JcBYY/edit#gid=1522333227"",""Skr. PPOK!$G$14"")"),"")</f>
        <v/>
      </c>
      <c r="L25" s="49" t="str">
        <f ca="1">IFERROR(__xludf.DUMMYFUNCTION("IMPORTRANGE(""https://docs.google.com/spreadsheets/d/13FRR1udp0c0o6Nmp_8YHiON78PXr-L4FqQQ028JcBYY/edit#gid=1522333227"",""Skr. PPOK!$G$16"")"),"")</f>
        <v/>
      </c>
      <c r="M25" s="49" t="str">
        <f ca="1">IFERROR(__xludf.DUMMYFUNCTION("IMPORTRANGE(""https://docs.google.com/spreadsheets/d/13FRR1udp0c0o6Nmp_8YHiON78PXr-L4FqQQ028JcBYY/edit#gid=1522333227"",""Skr. PPOK!$G$17"")"),"")</f>
        <v/>
      </c>
      <c r="N25" s="49" t="str">
        <f ca="1">IFERROR(__xludf.DUMMYFUNCTION("IMPORTRANGE(""https://docs.google.com/spreadsheets/d/13FRR1udp0c0o6Nmp_8YHiON78PXr-L4FqQQ028JcBYY/edit#gid=1522333227"",""Skr. PPOK!$G$18"")"),"")</f>
        <v/>
      </c>
      <c r="O25" s="49">
        <f ca="1">IFERROR(__xludf.DUMMYFUNCTION("IMPORTRANGE(""https://docs.google.com/spreadsheets/d/13FRR1udp0c0o6Nmp_8YHiON78PXr-L4FqQQ028JcBYY/edit#gid=1522333227"",""Skr. PPOK!$G$20"")"),33)</f>
        <v>33</v>
      </c>
      <c r="P25" s="49" t="str">
        <f ca="1">IFERROR(__xludf.DUMMYFUNCTION("IMPORTRANGE(""https://docs.google.com/spreadsheets/d/13FRR1udp0c0o6Nmp_8YHiON78PXr-L4FqQQ028JcBYY/edit#gid=1522333227"",""Skr. PPOK!$G$21"")"),"")</f>
        <v/>
      </c>
      <c r="Q25" s="50">
        <f ca="1">IFERROR(__xludf.DUMMYFUNCTION("IMPORTRANGE(""https://docs.google.com/spreadsheets/d/13FRR1udp0c0o6Nmp_8YHiON78PXr-L4FqQQ028JcBYY/edit#gid=1522333227"",""Skr. PPOK!$G$22"")"),5794)</f>
        <v>5794</v>
      </c>
      <c r="R25" s="29"/>
      <c r="S25" s="30"/>
      <c r="T25" s="51">
        <f t="shared" si="19"/>
        <v>0</v>
      </c>
      <c r="U25" s="52">
        <f t="shared" si="1"/>
        <v>0</v>
      </c>
      <c r="V25" s="31"/>
    </row>
    <row r="26" spans="1:30" ht="15.75" customHeight="1" x14ac:dyDescent="0.2">
      <c r="A26" s="27"/>
      <c r="B26" s="4">
        <v>15</v>
      </c>
      <c r="C26" s="5" t="s">
        <v>18</v>
      </c>
      <c r="D26" s="32">
        <f t="shared" ref="D26:E26" si="21">D25</f>
        <v>6496</v>
      </c>
      <c r="E26" s="32">
        <f t="shared" si="21"/>
        <v>5846</v>
      </c>
      <c r="F26" s="49">
        <f ca="1">IFERROR(__xludf.DUMMYFUNCTION("IMPORTRANGE(""https://docs.google.com/spreadsheets/d/1PVwe4VvYfj1Vj424c9kO9TcQogsBM6TpXMbFve9togc/edit#gid=1522333227"",""Skr. PPOK!$G$8"")"),116)</f>
        <v>116</v>
      </c>
      <c r="G26" s="49">
        <f ca="1">IFERROR(__xludf.DUMMYFUNCTION("IMPORTRANGE(""https://docs.google.com/spreadsheets/d/1PVwe4VvYfj1Vj424c9kO9TcQogsBM6TpXMbFve9togc/edit#gid=1522333227"",""Skr. PPOK!$G$9"")"),125)</f>
        <v>125</v>
      </c>
      <c r="H26" s="49">
        <f ca="1">IFERROR(__xludf.DUMMYFUNCTION("IMPORTRANGE(""https://docs.google.com/spreadsheets/d/1PVwe4VvYfj1Vj424c9kO9TcQogsBM6TpXMbFve9togc/edit#gid=1522333227"",""Skr. PPOK!$G$10"")"),132)</f>
        <v>132</v>
      </c>
      <c r="I26" s="49">
        <f ca="1">IFERROR(__xludf.DUMMYFUNCTION("IMPORTRANGE(""https://docs.google.com/spreadsheets/d/1PVwe4VvYfj1Vj424c9kO9TcQogsBM6TpXMbFve9togc/edit#gid=1522333227"",""Skr. PPOK!$G$12"")"),55)</f>
        <v>55</v>
      </c>
      <c r="J26" s="49">
        <f ca="1">IFERROR(__xludf.DUMMYFUNCTION("IMPORTRANGE(""https://docs.google.com/spreadsheets/d/1PVwe4VvYfj1Vj424c9kO9TcQogsBM6TpXMbFve9togc/edit#gid=1522333227"",""Skr. PPOK!$G$13"")"),53)</f>
        <v>53</v>
      </c>
      <c r="K26" s="49">
        <f ca="1">IFERROR(__xludf.DUMMYFUNCTION("IMPORTRANGE(""https://docs.google.com/spreadsheets/d/1PVwe4VvYfj1Vj424c9kO9TcQogsBM6TpXMbFve9togc/edit#gid=1522333227"",""Skr. PPOK!$G$14"")"),39)</f>
        <v>39</v>
      </c>
      <c r="L26" s="49">
        <f ca="1">IFERROR(__xludf.DUMMYFUNCTION("IMPORTRANGE(""https://docs.google.com/spreadsheets/d/1PVwe4VvYfj1Vj424c9kO9TcQogsBM6TpXMbFve9togc/edit#gid=1522333227"",""Skr. PPOK!$G$16"")"),57)</f>
        <v>57</v>
      </c>
      <c r="M26" s="49">
        <f ca="1">IFERROR(__xludf.DUMMYFUNCTION("IMPORTRANGE(""https://docs.google.com/spreadsheets/d/1PVwe4VvYfj1Vj424c9kO9TcQogsBM6TpXMbFve9togc/edit#gid=1522333227"",""Skr. PPOK!$G$17"")"),42)</f>
        <v>42</v>
      </c>
      <c r="N26" s="49">
        <f ca="1">IFERROR(__xludf.DUMMYFUNCTION("IMPORTRANGE(""https://docs.google.com/spreadsheets/d/1PVwe4VvYfj1Vj424c9kO9TcQogsBM6TpXMbFve9togc/edit#gid=1522333227"",""Skr. PPOK!$G$18"")"),56)</f>
        <v>56</v>
      </c>
      <c r="O26" s="49">
        <f ca="1">IFERROR(__xludf.DUMMYFUNCTION("IMPORTRANGE(""https://docs.google.com/spreadsheets/d/1PVwe4VvYfj1Vj424c9kO9TcQogsBM6TpXMbFve9togc/edit#gid=1522333227"",""Skr. PPOK!$G$20"")"),76)</f>
        <v>76</v>
      </c>
      <c r="P26" s="49">
        <f ca="1">IFERROR(__xludf.DUMMYFUNCTION("IMPORTRANGE(""https://docs.google.com/spreadsheets/d/1PVwe4VvYfj1Vj424c9kO9TcQogsBM6TpXMbFve9togc/edit#gid=1522333227"",""Skr. PPOK!$G$21"")"),47)</f>
        <v>47</v>
      </c>
      <c r="Q26" s="50">
        <f ca="1">IFERROR(__xludf.DUMMYFUNCTION("IMPORTRANGE(""https://docs.google.com/spreadsheets/d/1PVwe4VvYfj1Vj424c9kO9TcQogsBM6TpXMbFve9togc/edit#gid=1522333227"",""Skr. PPOK!$G$22"")"),65)</f>
        <v>65</v>
      </c>
      <c r="R26" s="29"/>
      <c r="S26" s="30"/>
      <c r="T26" s="51">
        <f t="shared" si="19"/>
        <v>0</v>
      </c>
      <c r="U26" s="52">
        <f t="shared" si="1"/>
        <v>0</v>
      </c>
      <c r="V26" s="31"/>
    </row>
    <row r="27" spans="1:30" ht="15.75" customHeight="1" x14ac:dyDescent="0.2">
      <c r="A27" s="27"/>
      <c r="B27" s="9">
        <v>16</v>
      </c>
      <c r="C27" s="10" t="s">
        <v>19</v>
      </c>
      <c r="D27" s="36">
        <f t="shared" ref="D27:E27" si="22">D26</f>
        <v>6496</v>
      </c>
      <c r="E27" s="36">
        <f t="shared" si="22"/>
        <v>5846</v>
      </c>
      <c r="F27" s="49">
        <f ca="1">IFERROR(__xludf.DUMMYFUNCTION("IMPORTRANGE(""https://docs.google.com/spreadsheets/d/15JUTNcWxWGx3Ha8qvwbxgnbDbT4v7N3vZYvqPZ68_Xg/edit#gid=1892753874"",""Skr. PPOK!$G$8"")"),56)</f>
        <v>56</v>
      </c>
      <c r="G27" s="49">
        <f ca="1">IFERROR(__xludf.DUMMYFUNCTION("IMPORTRANGE(""https://docs.google.com/spreadsheets/d/15JUTNcWxWGx3Ha8qvwbxgnbDbT4v7N3vZYvqPZ68_Xg/edit#gid=1892753874"",""Skr. PPOK!$G$9"")"),45)</f>
        <v>45</v>
      </c>
      <c r="H27" s="49">
        <f ca="1">IFERROR(__xludf.DUMMYFUNCTION("IMPORTRANGE(""https://docs.google.com/spreadsheets/d/15JUTNcWxWGx3Ha8qvwbxgnbDbT4v7N3vZYvqPZ68_Xg/edit#gid=1892753874"",""Skr. PPOK!$G$10"")"),87)</f>
        <v>87</v>
      </c>
      <c r="I27" s="49">
        <f ca="1">IFERROR(__xludf.DUMMYFUNCTION("IMPORTRANGE(""https://docs.google.com/spreadsheets/d/15JUTNcWxWGx3Ha8qvwbxgnbDbT4v7N3vZYvqPZ68_Xg/edit#gid=1892753874"",""Skr. PPOK!$G$12"")"),55)</f>
        <v>55</v>
      </c>
      <c r="J27" s="49">
        <f ca="1">IFERROR(__xludf.DUMMYFUNCTION("IMPORTRANGE(""https://docs.google.com/spreadsheets/d/15JUTNcWxWGx3Ha8qvwbxgnbDbT4v7N3vZYvqPZ68_Xg/edit#gid=1892753874"",""Skr. PPOK!$G$13"")"),15)</f>
        <v>15</v>
      </c>
      <c r="K27" s="49">
        <f ca="1">IFERROR(__xludf.DUMMYFUNCTION("IMPORTRANGE(""https://docs.google.com/spreadsheets/d/15JUTNcWxWGx3Ha8qvwbxgnbDbT4v7N3vZYvqPZ68_Xg/edit#gid=1892753874"",""Skr. PPOK!$G$14"")"),18)</f>
        <v>18</v>
      </c>
      <c r="L27" s="49">
        <f ca="1">IFERROR(__xludf.DUMMYFUNCTION("IMPORTRANGE(""https://docs.google.com/spreadsheets/d/15JUTNcWxWGx3Ha8qvwbxgnbDbT4v7N3vZYvqPZ68_Xg/edit#gid=1892753874"",""Skr. PPOK!$G$16"")"),97)</f>
        <v>97</v>
      </c>
      <c r="M27" s="49">
        <f ca="1">IFERROR(__xludf.DUMMYFUNCTION("IMPORTRANGE(""https://docs.google.com/spreadsheets/d/15JUTNcWxWGx3Ha8qvwbxgnbDbT4v7N3vZYvqPZ68_Xg/edit#gid=1892753874"",""Skr. PPOK!$G$17"")"),598)</f>
        <v>598</v>
      </c>
      <c r="N27" s="49">
        <f ca="1">IFERROR(__xludf.DUMMYFUNCTION("IMPORTRANGE(""https://docs.google.com/spreadsheets/d/15JUTNcWxWGx3Ha8qvwbxgnbDbT4v7N3vZYvqPZ68_Xg/edit#gid=1892753874"",""Skr. PPOK!$G$18"")"),720)</f>
        <v>720</v>
      </c>
      <c r="O27" s="49">
        <f ca="1">IFERROR(__xludf.DUMMYFUNCTION("IMPORTRANGE(""https://docs.google.com/spreadsheets/d/15JUTNcWxWGx3Ha8qvwbxgnbDbT4v7N3vZYvqPZ68_Xg/edit#gid=1892753874"",""Skr. PPOK!$G$20"")"),98)</f>
        <v>98</v>
      </c>
      <c r="P27" s="49">
        <f ca="1">IFERROR(__xludf.DUMMYFUNCTION("IMPORTRANGE(""https://docs.google.com/spreadsheets/d/15JUTNcWxWGx3Ha8qvwbxgnbDbT4v7N3vZYvqPZ68_Xg/edit#gid=1892753874"",""Skr. PPOK!$G$21"")"),189)</f>
        <v>189</v>
      </c>
      <c r="Q27" s="50">
        <f ca="1">IFERROR(__xludf.DUMMYFUNCTION("IMPORTRANGE(""https://docs.google.com/spreadsheets/d/15JUTNcWxWGx3Ha8qvwbxgnbDbT4v7N3vZYvqPZ68_Xg/edit#gid=1892753874"",""Skr. PPOK!$G$22"")"),1870)</f>
        <v>1870</v>
      </c>
      <c r="R27" s="34">
        <f t="shared" ref="R27:T27" si="23">SUM(R24:R26)</f>
        <v>0</v>
      </c>
      <c r="S27" s="35">
        <f t="shared" si="23"/>
        <v>0</v>
      </c>
      <c r="T27" s="53">
        <f t="shared" si="23"/>
        <v>0</v>
      </c>
      <c r="U27" s="54">
        <f t="shared" si="1"/>
        <v>0</v>
      </c>
      <c r="V27" s="31"/>
    </row>
    <row r="28" spans="1:30" ht="24.75" customHeight="1" x14ac:dyDescent="0.15">
      <c r="A28" s="37"/>
      <c r="B28" s="89" t="s">
        <v>3</v>
      </c>
      <c r="C28" s="90"/>
      <c r="D28" s="38">
        <f t="shared" ref="D28:E28" si="24">D27</f>
        <v>6496</v>
      </c>
      <c r="E28" s="38">
        <f t="shared" si="24"/>
        <v>5846</v>
      </c>
      <c r="F28" s="55">
        <f t="shared" ref="F28:Q28" ca="1" si="25">SUM(F12:F27)</f>
        <v>721</v>
      </c>
      <c r="G28" s="55">
        <f t="shared" ca="1" si="25"/>
        <v>789</v>
      </c>
      <c r="H28" s="55">
        <f t="shared" ca="1" si="25"/>
        <v>752.29</v>
      </c>
      <c r="I28" s="55">
        <f t="shared" ca="1" si="25"/>
        <v>2103</v>
      </c>
      <c r="J28" s="55">
        <f t="shared" ca="1" si="25"/>
        <v>2732</v>
      </c>
      <c r="K28" s="55">
        <f t="shared" ca="1" si="25"/>
        <v>1862</v>
      </c>
      <c r="L28" s="55">
        <f t="shared" ca="1" si="25"/>
        <v>1559</v>
      </c>
      <c r="M28" s="55">
        <f t="shared" ca="1" si="25"/>
        <v>1968</v>
      </c>
      <c r="N28" s="55">
        <f t="shared" ca="1" si="25"/>
        <v>3717</v>
      </c>
      <c r="O28" s="55">
        <f t="shared" ca="1" si="25"/>
        <v>1879</v>
      </c>
      <c r="P28" s="55">
        <f t="shared" ca="1" si="25"/>
        <v>1788</v>
      </c>
      <c r="Q28" s="56">
        <f t="shared" ca="1" si="25"/>
        <v>9150</v>
      </c>
      <c r="R28" s="57">
        <f t="shared" ref="R28:T28" si="26">SUM(R27,R23,R19,R15)</f>
        <v>1752</v>
      </c>
      <c r="S28" s="58">
        <f t="shared" si="26"/>
        <v>2</v>
      </c>
      <c r="T28" s="58">
        <f t="shared" si="26"/>
        <v>1754</v>
      </c>
      <c r="U28" s="59">
        <f t="shared" si="1"/>
        <v>30.003421142661651</v>
      </c>
      <c r="V28" s="44"/>
      <c r="W28" s="39"/>
      <c r="X28" s="39"/>
      <c r="Y28" s="39"/>
      <c r="Z28" s="39"/>
      <c r="AA28" s="39"/>
      <c r="AB28" s="39"/>
      <c r="AC28" s="39"/>
      <c r="AD28" s="39"/>
    </row>
    <row r="29" spans="1:30" ht="15.75" customHeight="1" x14ac:dyDescent="0.15">
      <c r="A29" s="40"/>
      <c r="B29" s="40"/>
    </row>
    <row r="30" spans="1:30" ht="15.75" customHeight="1" x14ac:dyDescent="0.15">
      <c r="A30" s="40"/>
      <c r="B30" s="40"/>
    </row>
    <row r="31" spans="1:30" ht="15.75" customHeight="1" x14ac:dyDescent="0.15">
      <c r="A31" s="40"/>
      <c r="B31" s="40"/>
    </row>
    <row r="32" spans="1:30" ht="15.75" customHeight="1" x14ac:dyDescent="0.15">
      <c r="A32" s="40"/>
      <c r="B32" s="40"/>
    </row>
    <row r="33" spans="1:2" ht="15.75" customHeight="1" x14ac:dyDescent="0.15">
      <c r="A33" s="40"/>
      <c r="B33" s="40"/>
    </row>
    <row r="34" spans="1:2" ht="15.75" customHeight="1" x14ac:dyDescent="0.15">
      <c r="A34" s="40"/>
      <c r="B34" s="40"/>
    </row>
    <row r="35" spans="1:2" ht="15.75" customHeight="1" x14ac:dyDescent="0.15">
      <c r="A35" s="40"/>
      <c r="B35" s="40"/>
    </row>
    <row r="36" spans="1:2" ht="15.75" customHeight="1" x14ac:dyDescent="0.15">
      <c r="A36" s="40"/>
      <c r="B36" s="40"/>
    </row>
    <row r="37" spans="1:2" ht="15.75" customHeight="1" x14ac:dyDescent="0.15">
      <c r="A37" s="40"/>
      <c r="B37" s="40"/>
    </row>
    <row r="38" spans="1:2" ht="15.75" customHeight="1" x14ac:dyDescent="0.15">
      <c r="A38" s="40"/>
      <c r="B38" s="40"/>
    </row>
    <row r="39" spans="1:2" ht="15.75" customHeight="1" x14ac:dyDescent="0.15">
      <c r="A39" s="40"/>
      <c r="B39" s="40"/>
    </row>
    <row r="40" spans="1:2" ht="15.75" customHeight="1" x14ac:dyDescent="0.15">
      <c r="A40" s="40"/>
      <c r="B40" s="40"/>
    </row>
    <row r="41" spans="1:2" ht="15.75" customHeight="1" x14ac:dyDescent="0.15">
      <c r="A41" s="40"/>
      <c r="B41" s="40"/>
    </row>
    <row r="42" spans="1:2" ht="15.75" customHeight="1" x14ac:dyDescent="0.15">
      <c r="A42" s="40"/>
      <c r="B42" s="40"/>
    </row>
    <row r="43" spans="1:2" ht="15.75" customHeight="1" x14ac:dyDescent="0.15">
      <c r="A43" s="40"/>
      <c r="B43" s="40"/>
    </row>
    <row r="44" spans="1:2" ht="15.75" customHeight="1" x14ac:dyDescent="0.15">
      <c r="A44" s="40"/>
      <c r="B44" s="40"/>
    </row>
    <row r="45" spans="1:2" ht="15.75" customHeight="1" x14ac:dyDescent="0.15">
      <c r="A45" s="40"/>
      <c r="B45" s="40"/>
    </row>
    <row r="46" spans="1:2" ht="15.75" customHeight="1" x14ac:dyDescent="0.15">
      <c r="A46" s="40"/>
      <c r="B46" s="40"/>
    </row>
    <row r="47" spans="1:2" ht="15.75" customHeight="1" x14ac:dyDescent="0.15">
      <c r="A47" s="40"/>
      <c r="B47" s="40"/>
    </row>
    <row r="48" spans="1:2" ht="15.75" customHeight="1" x14ac:dyDescent="0.15">
      <c r="A48" s="40"/>
      <c r="B48" s="40"/>
    </row>
    <row r="49" spans="1:2" ht="15.75" customHeight="1" x14ac:dyDescent="0.15">
      <c r="A49" s="40"/>
      <c r="B49" s="40"/>
    </row>
    <row r="50" spans="1:2" ht="15.75" customHeight="1" x14ac:dyDescent="0.15">
      <c r="A50" s="40"/>
      <c r="B50" s="40"/>
    </row>
    <row r="51" spans="1:2" ht="15.75" customHeight="1" x14ac:dyDescent="0.15">
      <c r="A51" s="40"/>
      <c r="B51" s="40"/>
    </row>
    <row r="52" spans="1:2" ht="15.75" customHeight="1" x14ac:dyDescent="0.15">
      <c r="A52" s="40"/>
      <c r="B52" s="40"/>
    </row>
    <row r="53" spans="1:2" ht="15.75" customHeight="1" x14ac:dyDescent="0.15">
      <c r="A53" s="40"/>
      <c r="B53" s="40"/>
    </row>
    <row r="54" spans="1:2" ht="15.75" customHeight="1" x14ac:dyDescent="0.15">
      <c r="A54" s="40"/>
      <c r="B54" s="40"/>
    </row>
    <row r="55" spans="1:2" ht="15.75" customHeight="1" x14ac:dyDescent="0.15">
      <c r="A55" s="40"/>
      <c r="B55" s="40"/>
    </row>
    <row r="56" spans="1:2" ht="15.75" customHeight="1" x14ac:dyDescent="0.15">
      <c r="A56" s="40"/>
      <c r="B56" s="40"/>
    </row>
    <row r="57" spans="1:2" ht="15.75" customHeight="1" x14ac:dyDescent="0.15">
      <c r="A57" s="40"/>
      <c r="B57" s="40"/>
    </row>
    <row r="58" spans="1:2" ht="15.75" customHeight="1" x14ac:dyDescent="0.15">
      <c r="A58" s="40"/>
      <c r="B58" s="40"/>
    </row>
    <row r="59" spans="1:2" ht="15.75" customHeight="1" x14ac:dyDescent="0.15">
      <c r="A59" s="40"/>
      <c r="B59" s="40"/>
    </row>
    <row r="60" spans="1:2" ht="15.75" customHeight="1" x14ac:dyDescent="0.15">
      <c r="A60" s="40"/>
      <c r="B60" s="40"/>
    </row>
    <row r="61" spans="1:2" ht="15.75" customHeight="1" x14ac:dyDescent="0.15">
      <c r="A61" s="40"/>
      <c r="B61" s="40"/>
    </row>
    <row r="62" spans="1:2" ht="15.75" customHeight="1" x14ac:dyDescent="0.15">
      <c r="A62" s="40"/>
      <c r="B62" s="40"/>
    </row>
    <row r="63" spans="1:2" ht="15.75" customHeight="1" x14ac:dyDescent="0.15">
      <c r="A63" s="40"/>
      <c r="B63" s="40"/>
    </row>
    <row r="64" spans="1:2" ht="15.75" customHeight="1" x14ac:dyDescent="0.15">
      <c r="A64" s="40"/>
      <c r="B64" s="40"/>
    </row>
    <row r="65" spans="1:2" ht="15.75" customHeight="1" x14ac:dyDescent="0.15">
      <c r="A65" s="40"/>
      <c r="B65" s="40"/>
    </row>
    <row r="66" spans="1:2" ht="15.75" customHeight="1" x14ac:dyDescent="0.15">
      <c r="A66" s="40"/>
      <c r="B66" s="40"/>
    </row>
    <row r="67" spans="1:2" ht="15.75" customHeight="1" x14ac:dyDescent="0.15">
      <c r="A67" s="40"/>
      <c r="B67" s="40"/>
    </row>
    <row r="68" spans="1:2" ht="15.75" customHeight="1" x14ac:dyDescent="0.15">
      <c r="A68" s="40"/>
      <c r="B68" s="40"/>
    </row>
    <row r="69" spans="1:2" ht="15.75" customHeight="1" x14ac:dyDescent="0.15">
      <c r="A69" s="40"/>
      <c r="B69" s="40"/>
    </row>
    <row r="70" spans="1:2" ht="15.75" customHeight="1" x14ac:dyDescent="0.15">
      <c r="A70" s="40"/>
      <c r="B70" s="40"/>
    </row>
    <row r="71" spans="1:2" ht="15.75" customHeight="1" x14ac:dyDescent="0.15">
      <c r="A71" s="40"/>
      <c r="B71" s="40"/>
    </row>
    <row r="72" spans="1:2" ht="15.75" customHeight="1" x14ac:dyDescent="0.15">
      <c r="A72" s="40"/>
      <c r="B72" s="40"/>
    </row>
    <row r="73" spans="1:2" ht="15.75" customHeight="1" x14ac:dyDescent="0.15">
      <c r="A73" s="40"/>
      <c r="B73" s="40"/>
    </row>
    <row r="74" spans="1:2" ht="15.75" customHeight="1" x14ac:dyDescent="0.15">
      <c r="A74" s="40"/>
      <c r="B74" s="40"/>
    </row>
    <row r="75" spans="1:2" ht="15.75" customHeight="1" x14ac:dyDescent="0.15">
      <c r="A75" s="40"/>
      <c r="B75" s="40"/>
    </row>
    <row r="76" spans="1:2" ht="15.75" customHeight="1" x14ac:dyDescent="0.15">
      <c r="A76" s="40"/>
      <c r="B76" s="40"/>
    </row>
    <row r="77" spans="1:2" ht="15.75" customHeight="1" x14ac:dyDescent="0.15">
      <c r="A77" s="40"/>
      <c r="B77" s="40"/>
    </row>
    <row r="78" spans="1:2" ht="15.75" customHeight="1" x14ac:dyDescent="0.15">
      <c r="A78" s="40"/>
      <c r="B78" s="40"/>
    </row>
    <row r="79" spans="1:2" ht="15.75" customHeight="1" x14ac:dyDescent="0.15">
      <c r="A79" s="40"/>
      <c r="B79" s="40"/>
    </row>
    <row r="80" spans="1:2" ht="15.75" customHeight="1" x14ac:dyDescent="0.15">
      <c r="A80" s="40"/>
      <c r="B80" s="40"/>
    </row>
    <row r="81" spans="1:2" ht="15.75" customHeight="1" x14ac:dyDescent="0.15">
      <c r="A81" s="40"/>
      <c r="B81" s="40"/>
    </row>
    <row r="82" spans="1:2" ht="15.75" customHeight="1" x14ac:dyDescent="0.15">
      <c r="A82" s="40"/>
      <c r="B82" s="40"/>
    </row>
    <row r="83" spans="1:2" ht="15.75" customHeight="1" x14ac:dyDescent="0.15">
      <c r="A83" s="40"/>
      <c r="B83" s="40"/>
    </row>
    <row r="84" spans="1:2" ht="15.75" customHeight="1" x14ac:dyDescent="0.15">
      <c r="A84" s="40"/>
      <c r="B84" s="40"/>
    </row>
    <row r="85" spans="1:2" ht="15.75" customHeight="1" x14ac:dyDescent="0.15">
      <c r="A85" s="40"/>
      <c r="B85" s="40"/>
    </row>
    <row r="86" spans="1:2" ht="15.75" customHeight="1" x14ac:dyDescent="0.15">
      <c r="A86" s="40"/>
      <c r="B86" s="40"/>
    </row>
    <row r="87" spans="1:2" ht="15.75" customHeight="1" x14ac:dyDescent="0.15">
      <c r="A87" s="40"/>
      <c r="B87" s="40"/>
    </row>
    <row r="88" spans="1:2" ht="15.75" customHeight="1" x14ac:dyDescent="0.15">
      <c r="A88" s="40"/>
      <c r="B88" s="40"/>
    </row>
    <row r="89" spans="1:2" ht="15.75" customHeight="1" x14ac:dyDescent="0.15">
      <c r="A89" s="40"/>
      <c r="B89" s="40"/>
    </row>
    <row r="90" spans="1:2" ht="15.75" customHeight="1" x14ac:dyDescent="0.15">
      <c r="A90" s="40"/>
      <c r="B90" s="40"/>
    </row>
    <row r="91" spans="1:2" ht="15.75" customHeight="1" x14ac:dyDescent="0.15">
      <c r="A91" s="40"/>
      <c r="B91" s="40"/>
    </row>
    <row r="92" spans="1:2" ht="15.75" customHeight="1" x14ac:dyDescent="0.15">
      <c r="A92" s="40"/>
      <c r="B92" s="40"/>
    </row>
    <row r="93" spans="1:2" ht="15.75" customHeight="1" x14ac:dyDescent="0.15">
      <c r="A93" s="40"/>
      <c r="B93" s="40"/>
    </row>
    <row r="94" spans="1:2" ht="15.75" customHeight="1" x14ac:dyDescent="0.15">
      <c r="A94" s="40"/>
      <c r="B94" s="40"/>
    </row>
    <row r="95" spans="1:2" ht="15.75" customHeight="1" x14ac:dyDescent="0.15">
      <c r="A95" s="40"/>
      <c r="B95" s="40"/>
    </row>
    <row r="96" spans="1:2" ht="15.75" customHeight="1" x14ac:dyDescent="0.15">
      <c r="A96" s="40"/>
      <c r="B96" s="40"/>
    </row>
    <row r="97" spans="1:2" ht="15.75" customHeight="1" x14ac:dyDescent="0.15">
      <c r="A97" s="40"/>
      <c r="B97" s="40"/>
    </row>
    <row r="98" spans="1:2" ht="15.75" customHeight="1" x14ac:dyDescent="0.15">
      <c r="A98" s="40"/>
      <c r="B98" s="40"/>
    </row>
    <row r="99" spans="1:2" ht="15.75" customHeight="1" x14ac:dyDescent="0.15">
      <c r="A99" s="40"/>
      <c r="B99" s="40"/>
    </row>
    <row r="100" spans="1:2" ht="15.75" customHeight="1" x14ac:dyDescent="0.15">
      <c r="A100" s="40"/>
      <c r="B100" s="40"/>
    </row>
    <row r="101" spans="1:2" ht="15.75" customHeight="1" x14ac:dyDescent="0.15">
      <c r="A101" s="40"/>
      <c r="B101" s="40"/>
    </row>
    <row r="102" spans="1:2" ht="15.75" customHeight="1" x14ac:dyDescent="0.15">
      <c r="A102" s="40"/>
      <c r="B102" s="40"/>
    </row>
    <row r="103" spans="1:2" ht="15.75" customHeight="1" x14ac:dyDescent="0.15">
      <c r="A103" s="40"/>
      <c r="B103" s="40"/>
    </row>
    <row r="104" spans="1:2" ht="15.75" customHeight="1" x14ac:dyDescent="0.15">
      <c r="A104" s="40"/>
      <c r="B104" s="40"/>
    </row>
    <row r="105" spans="1:2" ht="15.75" customHeight="1" x14ac:dyDescent="0.15">
      <c r="A105" s="40"/>
      <c r="B105" s="40"/>
    </row>
    <row r="106" spans="1:2" ht="15.75" customHeight="1" x14ac:dyDescent="0.15">
      <c r="A106" s="40"/>
      <c r="B106" s="40"/>
    </row>
    <row r="107" spans="1:2" ht="15.75" customHeight="1" x14ac:dyDescent="0.15">
      <c r="A107" s="40"/>
      <c r="B107" s="40"/>
    </row>
    <row r="108" spans="1:2" ht="15.75" customHeight="1" x14ac:dyDescent="0.15">
      <c r="A108" s="40"/>
      <c r="B108" s="40"/>
    </row>
    <row r="109" spans="1:2" ht="15.75" customHeight="1" x14ac:dyDescent="0.15">
      <c r="A109" s="40"/>
      <c r="B109" s="40"/>
    </row>
    <row r="110" spans="1:2" ht="15.75" customHeight="1" x14ac:dyDescent="0.15">
      <c r="A110" s="40"/>
      <c r="B110" s="40"/>
    </row>
    <row r="111" spans="1:2" ht="15.75" customHeight="1" x14ac:dyDescent="0.15">
      <c r="A111" s="40"/>
      <c r="B111" s="40"/>
    </row>
    <row r="112" spans="1:2" ht="15.75" customHeight="1" x14ac:dyDescent="0.15">
      <c r="A112" s="40"/>
      <c r="B112" s="40"/>
    </row>
    <row r="113" spans="1:2" ht="15.75" customHeight="1" x14ac:dyDescent="0.15">
      <c r="A113" s="40"/>
      <c r="B113" s="40"/>
    </row>
    <row r="114" spans="1:2" ht="15.75" customHeight="1" x14ac:dyDescent="0.15">
      <c r="A114" s="40"/>
      <c r="B114" s="40"/>
    </row>
    <row r="115" spans="1:2" ht="15.75" customHeight="1" x14ac:dyDescent="0.15">
      <c r="A115" s="40"/>
      <c r="B115" s="40"/>
    </row>
    <row r="116" spans="1:2" ht="15.75" customHeight="1" x14ac:dyDescent="0.15">
      <c r="A116" s="40"/>
      <c r="B116" s="40"/>
    </row>
    <row r="117" spans="1:2" ht="15.75" customHeight="1" x14ac:dyDescent="0.15">
      <c r="A117" s="40"/>
      <c r="B117" s="40"/>
    </row>
    <row r="118" spans="1:2" ht="15.75" customHeight="1" x14ac:dyDescent="0.15">
      <c r="A118" s="40"/>
      <c r="B118" s="40"/>
    </row>
    <row r="119" spans="1:2" ht="15.75" customHeight="1" x14ac:dyDescent="0.15">
      <c r="A119" s="40"/>
      <c r="B119" s="40"/>
    </row>
    <row r="120" spans="1:2" ht="15.75" customHeight="1" x14ac:dyDescent="0.15">
      <c r="A120" s="40"/>
      <c r="B120" s="40"/>
    </row>
    <row r="121" spans="1:2" ht="15.75" customHeight="1" x14ac:dyDescent="0.15">
      <c r="A121" s="40"/>
      <c r="B121" s="40"/>
    </row>
    <row r="122" spans="1:2" ht="15.75" customHeight="1" x14ac:dyDescent="0.15">
      <c r="A122" s="40"/>
      <c r="B122" s="40"/>
    </row>
    <row r="123" spans="1:2" ht="15.75" customHeight="1" x14ac:dyDescent="0.15">
      <c r="A123" s="40"/>
      <c r="B123" s="40"/>
    </row>
    <row r="124" spans="1:2" ht="15.75" customHeight="1" x14ac:dyDescent="0.15">
      <c r="A124" s="40"/>
      <c r="B124" s="40"/>
    </row>
    <row r="125" spans="1:2" ht="15.75" customHeight="1" x14ac:dyDescent="0.15">
      <c r="A125" s="40"/>
      <c r="B125" s="40"/>
    </row>
    <row r="126" spans="1:2" ht="15.75" customHeight="1" x14ac:dyDescent="0.15">
      <c r="A126" s="40"/>
      <c r="B126" s="40"/>
    </row>
    <row r="127" spans="1:2" ht="15.75" customHeight="1" x14ac:dyDescent="0.15">
      <c r="A127" s="40"/>
      <c r="B127" s="40"/>
    </row>
    <row r="128" spans="1:2" ht="15.75" customHeight="1" x14ac:dyDescent="0.15">
      <c r="A128" s="40"/>
      <c r="B128" s="40"/>
    </row>
    <row r="129" spans="1:2" ht="15.75" customHeight="1" x14ac:dyDescent="0.15">
      <c r="A129" s="40"/>
      <c r="B129" s="40"/>
    </row>
    <row r="130" spans="1:2" ht="15.75" customHeight="1" x14ac:dyDescent="0.15">
      <c r="A130" s="40"/>
      <c r="B130" s="40"/>
    </row>
    <row r="131" spans="1:2" ht="15.75" customHeight="1" x14ac:dyDescent="0.15">
      <c r="A131" s="40"/>
      <c r="B131" s="40"/>
    </row>
    <row r="132" spans="1:2" ht="15.75" customHeight="1" x14ac:dyDescent="0.15">
      <c r="A132" s="40"/>
      <c r="B132" s="40"/>
    </row>
    <row r="133" spans="1:2" ht="15.75" customHeight="1" x14ac:dyDescent="0.15">
      <c r="A133" s="40"/>
      <c r="B133" s="40"/>
    </row>
    <row r="134" spans="1:2" ht="15.75" customHeight="1" x14ac:dyDescent="0.15">
      <c r="A134" s="40"/>
      <c r="B134" s="40"/>
    </row>
    <row r="135" spans="1:2" ht="15.75" customHeight="1" x14ac:dyDescent="0.15">
      <c r="A135" s="40"/>
      <c r="B135" s="40"/>
    </row>
    <row r="136" spans="1:2" ht="15.75" customHeight="1" x14ac:dyDescent="0.15">
      <c r="A136" s="40"/>
      <c r="B136" s="40"/>
    </row>
    <row r="137" spans="1:2" ht="15.75" customHeight="1" x14ac:dyDescent="0.15">
      <c r="A137" s="40"/>
      <c r="B137" s="40"/>
    </row>
    <row r="138" spans="1:2" ht="15.75" customHeight="1" x14ac:dyDescent="0.15">
      <c r="A138" s="40"/>
      <c r="B138" s="40"/>
    </row>
    <row r="139" spans="1:2" ht="15.75" customHeight="1" x14ac:dyDescent="0.15">
      <c r="A139" s="40"/>
      <c r="B139" s="40"/>
    </row>
    <row r="140" spans="1:2" ht="15.75" customHeight="1" x14ac:dyDescent="0.15">
      <c r="A140" s="40"/>
      <c r="B140" s="40"/>
    </row>
    <row r="141" spans="1:2" ht="15.75" customHeight="1" x14ac:dyDescent="0.15">
      <c r="A141" s="40"/>
      <c r="B141" s="40"/>
    </row>
    <row r="142" spans="1:2" ht="15.75" customHeight="1" x14ac:dyDescent="0.15">
      <c r="A142" s="40"/>
      <c r="B142" s="40"/>
    </row>
    <row r="143" spans="1:2" ht="15.75" customHeight="1" x14ac:dyDescent="0.15">
      <c r="A143" s="40"/>
      <c r="B143" s="40"/>
    </row>
    <row r="144" spans="1:2" ht="15.75" customHeight="1" x14ac:dyDescent="0.15">
      <c r="A144" s="40"/>
      <c r="B144" s="40"/>
    </row>
    <row r="145" spans="1:2" ht="15.75" customHeight="1" x14ac:dyDescent="0.15">
      <c r="A145" s="40"/>
      <c r="B145" s="40"/>
    </row>
    <row r="146" spans="1:2" ht="15.75" customHeight="1" x14ac:dyDescent="0.15">
      <c r="A146" s="40"/>
      <c r="B146" s="40"/>
    </row>
    <row r="147" spans="1:2" ht="15.75" customHeight="1" x14ac:dyDescent="0.15">
      <c r="A147" s="40"/>
      <c r="B147" s="40"/>
    </row>
    <row r="148" spans="1:2" ht="15.75" customHeight="1" x14ac:dyDescent="0.15">
      <c r="A148" s="40"/>
      <c r="B148" s="40"/>
    </row>
    <row r="149" spans="1:2" ht="15.75" customHeight="1" x14ac:dyDescent="0.15">
      <c r="A149" s="40"/>
      <c r="B149" s="40"/>
    </row>
    <row r="150" spans="1:2" ht="15.75" customHeight="1" x14ac:dyDescent="0.15">
      <c r="A150" s="40"/>
      <c r="B150" s="40"/>
    </row>
    <row r="151" spans="1:2" ht="15.75" customHeight="1" x14ac:dyDescent="0.15">
      <c r="A151" s="40"/>
      <c r="B151" s="40"/>
    </row>
    <row r="152" spans="1:2" ht="15.75" customHeight="1" x14ac:dyDescent="0.15">
      <c r="A152" s="40"/>
      <c r="B152" s="40"/>
    </row>
    <row r="153" spans="1:2" ht="15.75" customHeight="1" x14ac:dyDescent="0.15">
      <c r="A153" s="40"/>
      <c r="B153" s="40"/>
    </row>
    <row r="154" spans="1:2" ht="15.75" customHeight="1" x14ac:dyDescent="0.15">
      <c r="A154" s="40"/>
      <c r="B154" s="40"/>
    </row>
    <row r="155" spans="1:2" ht="15.75" customHeight="1" x14ac:dyDescent="0.15">
      <c r="A155" s="40"/>
      <c r="B155" s="40"/>
    </row>
    <row r="156" spans="1:2" ht="15.75" customHeight="1" x14ac:dyDescent="0.15">
      <c r="A156" s="40"/>
      <c r="B156" s="40"/>
    </row>
    <row r="157" spans="1:2" ht="15.75" customHeight="1" x14ac:dyDescent="0.15">
      <c r="A157" s="40"/>
      <c r="B157" s="40"/>
    </row>
    <row r="158" spans="1:2" ht="15.75" customHeight="1" x14ac:dyDescent="0.15">
      <c r="A158" s="40"/>
      <c r="B158" s="40"/>
    </row>
    <row r="159" spans="1:2" ht="15.75" customHeight="1" x14ac:dyDescent="0.15">
      <c r="A159" s="40"/>
      <c r="B159" s="40"/>
    </row>
    <row r="160" spans="1:2" ht="15.75" customHeight="1" x14ac:dyDescent="0.15">
      <c r="A160" s="40"/>
      <c r="B160" s="40"/>
    </row>
    <row r="161" spans="1:2" ht="15.75" customHeight="1" x14ac:dyDescent="0.15">
      <c r="A161" s="40"/>
      <c r="B161" s="40"/>
    </row>
    <row r="162" spans="1:2" ht="15.75" customHeight="1" x14ac:dyDescent="0.15">
      <c r="A162" s="40"/>
      <c r="B162" s="40"/>
    </row>
    <row r="163" spans="1:2" ht="15.75" customHeight="1" x14ac:dyDescent="0.15">
      <c r="A163" s="40"/>
      <c r="B163" s="40"/>
    </row>
    <row r="164" spans="1:2" ht="15.75" customHeight="1" x14ac:dyDescent="0.15">
      <c r="A164" s="40"/>
      <c r="B164" s="40"/>
    </row>
    <row r="165" spans="1:2" ht="15.75" customHeight="1" x14ac:dyDescent="0.15">
      <c r="A165" s="40"/>
      <c r="B165" s="40"/>
    </row>
    <row r="166" spans="1:2" ht="15.75" customHeight="1" x14ac:dyDescent="0.15">
      <c r="A166" s="40"/>
      <c r="B166" s="40"/>
    </row>
    <row r="167" spans="1:2" ht="15.75" customHeight="1" x14ac:dyDescent="0.15">
      <c r="A167" s="40"/>
      <c r="B167" s="40"/>
    </row>
    <row r="168" spans="1:2" ht="15.75" customHeight="1" x14ac:dyDescent="0.15">
      <c r="A168" s="40"/>
      <c r="B168" s="40"/>
    </row>
    <row r="169" spans="1:2" ht="15.75" customHeight="1" x14ac:dyDescent="0.15">
      <c r="A169" s="40"/>
      <c r="B169" s="40"/>
    </row>
    <row r="170" spans="1:2" ht="15.75" customHeight="1" x14ac:dyDescent="0.15">
      <c r="A170" s="40"/>
      <c r="B170" s="40"/>
    </row>
    <row r="171" spans="1:2" ht="15.75" customHeight="1" x14ac:dyDescent="0.15">
      <c r="A171" s="40"/>
      <c r="B171" s="40"/>
    </row>
    <row r="172" spans="1:2" ht="15.75" customHeight="1" x14ac:dyDescent="0.15">
      <c r="A172" s="40"/>
      <c r="B172" s="40"/>
    </row>
    <row r="173" spans="1:2" ht="15.75" customHeight="1" x14ac:dyDescent="0.15">
      <c r="A173" s="40"/>
      <c r="B173" s="40"/>
    </row>
    <row r="174" spans="1:2" ht="15.75" customHeight="1" x14ac:dyDescent="0.15">
      <c r="A174" s="40"/>
      <c r="B174" s="40"/>
    </row>
    <row r="175" spans="1:2" ht="15.75" customHeight="1" x14ac:dyDescent="0.15">
      <c r="A175" s="40"/>
      <c r="B175" s="40"/>
    </row>
    <row r="176" spans="1:2" ht="15.75" customHeight="1" x14ac:dyDescent="0.15">
      <c r="A176" s="40"/>
      <c r="B176" s="40"/>
    </row>
    <row r="177" spans="1:2" ht="15.75" customHeight="1" x14ac:dyDescent="0.15">
      <c r="A177" s="40"/>
      <c r="B177" s="40"/>
    </row>
    <row r="178" spans="1:2" ht="15.75" customHeight="1" x14ac:dyDescent="0.15">
      <c r="A178" s="40"/>
      <c r="B178" s="40"/>
    </row>
    <row r="179" spans="1:2" ht="15.75" customHeight="1" x14ac:dyDescent="0.15">
      <c r="A179" s="40"/>
      <c r="B179" s="40"/>
    </row>
    <row r="180" spans="1:2" ht="15.75" customHeight="1" x14ac:dyDescent="0.15">
      <c r="A180" s="40"/>
      <c r="B180" s="40"/>
    </row>
    <row r="181" spans="1:2" ht="15.75" customHeight="1" x14ac:dyDescent="0.15">
      <c r="A181" s="40"/>
      <c r="B181" s="40"/>
    </row>
    <row r="182" spans="1:2" ht="15.75" customHeight="1" x14ac:dyDescent="0.15">
      <c r="A182" s="40"/>
      <c r="B182" s="40"/>
    </row>
    <row r="183" spans="1:2" ht="15.75" customHeight="1" x14ac:dyDescent="0.15">
      <c r="A183" s="40"/>
      <c r="B183" s="40"/>
    </row>
    <row r="184" spans="1:2" ht="15.75" customHeight="1" x14ac:dyDescent="0.15">
      <c r="A184" s="40"/>
      <c r="B184" s="40"/>
    </row>
    <row r="185" spans="1:2" ht="15.75" customHeight="1" x14ac:dyDescent="0.15">
      <c r="A185" s="40"/>
      <c r="B185" s="40"/>
    </row>
    <row r="186" spans="1:2" ht="15.75" customHeight="1" x14ac:dyDescent="0.15">
      <c r="A186" s="40"/>
      <c r="B186" s="40"/>
    </row>
    <row r="187" spans="1:2" ht="15.75" customHeight="1" x14ac:dyDescent="0.15">
      <c r="A187" s="40"/>
      <c r="B187" s="40"/>
    </row>
    <row r="188" spans="1:2" ht="15.75" customHeight="1" x14ac:dyDescent="0.15">
      <c r="A188" s="40"/>
      <c r="B188" s="40"/>
    </row>
    <row r="189" spans="1:2" ht="15.75" customHeight="1" x14ac:dyDescent="0.15">
      <c r="A189" s="40"/>
      <c r="B189" s="40"/>
    </row>
    <row r="190" spans="1:2" ht="15.75" customHeight="1" x14ac:dyDescent="0.15">
      <c r="A190" s="40"/>
      <c r="B190" s="40"/>
    </row>
    <row r="191" spans="1:2" ht="15.75" customHeight="1" x14ac:dyDescent="0.15">
      <c r="A191" s="40"/>
      <c r="B191" s="40"/>
    </row>
    <row r="192" spans="1:2" ht="15.75" customHeight="1" x14ac:dyDescent="0.15">
      <c r="A192" s="40"/>
      <c r="B192" s="40"/>
    </row>
    <row r="193" spans="1:2" ht="15.75" customHeight="1" x14ac:dyDescent="0.15">
      <c r="A193" s="40"/>
      <c r="B193" s="40"/>
    </row>
    <row r="194" spans="1:2" ht="15.75" customHeight="1" x14ac:dyDescent="0.15">
      <c r="A194" s="40"/>
      <c r="B194" s="40"/>
    </row>
    <row r="195" spans="1:2" ht="15.75" customHeight="1" x14ac:dyDescent="0.15">
      <c r="A195" s="40"/>
      <c r="B195" s="40"/>
    </row>
    <row r="196" spans="1:2" ht="15.75" customHeight="1" x14ac:dyDescent="0.15">
      <c r="A196" s="40"/>
      <c r="B196" s="40"/>
    </row>
    <row r="197" spans="1:2" ht="15.75" customHeight="1" x14ac:dyDescent="0.15">
      <c r="A197" s="40"/>
      <c r="B197" s="40"/>
    </row>
    <row r="198" spans="1:2" ht="15.75" customHeight="1" x14ac:dyDescent="0.15">
      <c r="A198" s="40"/>
      <c r="B198" s="40"/>
    </row>
    <row r="199" spans="1:2" ht="15.75" customHeight="1" x14ac:dyDescent="0.15">
      <c r="A199" s="40"/>
      <c r="B199" s="40"/>
    </row>
    <row r="200" spans="1:2" ht="15.75" customHeight="1" x14ac:dyDescent="0.15">
      <c r="A200" s="40"/>
      <c r="B200" s="40"/>
    </row>
    <row r="201" spans="1:2" ht="15.75" customHeight="1" x14ac:dyDescent="0.15">
      <c r="A201" s="40"/>
      <c r="B201" s="40"/>
    </row>
    <row r="202" spans="1:2" ht="15.75" customHeight="1" x14ac:dyDescent="0.15">
      <c r="A202" s="40"/>
      <c r="B202" s="40"/>
    </row>
    <row r="203" spans="1:2" ht="15.75" customHeight="1" x14ac:dyDescent="0.15">
      <c r="A203" s="40"/>
      <c r="B203" s="40"/>
    </row>
    <row r="204" spans="1:2" ht="15.75" customHeight="1" x14ac:dyDescent="0.15">
      <c r="A204" s="40"/>
      <c r="B204" s="40"/>
    </row>
    <row r="205" spans="1:2" ht="15.75" customHeight="1" x14ac:dyDescent="0.15">
      <c r="A205" s="40"/>
      <c r="B205" s="40"/>
    </row>
    <row r="206" spans="1:2" ht="15.75" customHeight="1" x14ac:dyDescent="0.15">
      <c r="A206" s="40"/>
      <c r="B206" s="40"/>
    </row>
    <row r="207" spans="1:2" ht="15.75" customHeight="1" x14ac:dyDescent="0.15">
      <c r="A207" s="40"/>
      <c r="B207" s="40"/>
    </row>
    <row r="208" spans="1:2" ht="15.75" customHeight="1" x14ac:dyDescent="0.15">
      <c r="A208" s="40"/>
      <c r="B208" s="40"/>
    </row>
    <row r="209" spans="1:2" ht="15.75" customHeight="1" x14ac:dyDescent="0.15">
      <c r="A209" s="40"/>
      <c r="B209" s="40"/>
    </row>
    <row r="210" spans="1:2" ht="15.75" customHeight="1" x14ac:dyDescent="0.15">
      <c r="A210" s="40"/>
      <c r="B210" s="40"/>
    </row>
    <row r="211" spans="1:2" ht="15.75" customHeight="1" x14ac:dyDescent="0.15">
      <c r="A211" s="40"/>
      <c r="B211" s="40"/>
    </row>
    <row r="212" spans="1:2" ht="15.75" customHeight="1" x14ac:dyDescent="0.15">
      <c r="A212" s="40"/>
      <c r="B212" s="40"/>
    </row>
    <row r="213" spans="1:2" ht="15.75" customHeight="1" x14ac:dyDescent="0.15">
      <c r="A213" s="40"/>
      <c r="B213" s="40"/>
    </row>
    <row r="214" spans="1:2" ht="15.75" customHeight="1" x14ac:dyDescent="0.15">
      <c r="A214" s="40"/>
      <c r="B214" s="40"/>
    </row>
    <row r="215" spans="1:2" ht="15.75" customHeight="1" x14ac:dyDescent="0.15">
      <c r="A215" s="40"/>
      <c r="B215" s="40"/>
    </row>
    <row r="216" spans="1:2" ht="15.75" customHeight="1" x14ac:dyDescent="0.15">
      <c r="A216" s="40"/>
      <c r="B216" s="40"/>
    </row>
    <row r="217" spans="1:2" ht="15.75" customHeight="1" x14ac:dyDescent="0.15">
      <c r="A217" s="40"/>
      <c r="B217" s="40"/>
    </row>
    <row r="218" spans="1:2" ht="15.75" customHeight="1" x14ac:dyDescent="0.15">
      <c r="A218" s="40"/>
      <c r="B218" s="40"/>
    </row>
    <row r="219" spans="1:2" ht="15.75" customHeight="1" x14ac:dyDescent="0.15">
      <c r="A219" s="40"/>
      <c r="B219" s="40"/>
    </row>
    <row r="220" spans="1:2" ht="15.75" customHeight="1" x14ac:dyDescent="0.15">
      <c r="A220" s="40"/>
      <c r="B220" s="40"/>
    </row>
    <row r="221" spans="1:2" ht="15.75" customHeight="1" x14ac:dyDescent="0.15">
      <c r="A221" s="40"/>
      <c r="B221" s="40"/>
    </row>
    <row r="222" spans="1:2" ht="15.75" customHeight="1" x14ac:dyDescent="0.15">
      <c r="A222" s="40"/>
      <c r="B222" s="40"/>
    </row>
    <row r="223" spans="1:2" ht="15.75" customHeight="1" x14ac:dyDescent="0.15">
      <c r="A223" s="40"/>
      <c r="B223" s="40"/>
    </row>
    <row r="224" spans="1:2" ht="15.75" customHeight="1" x14ac:dyDescent="0.15">
      <c r="A224" s="40"/>
      <c r="B224" s="40"/>
    </row>
    <row r="225" spans="1:2" ht="15.75" customHeight="1" x14ac:dyDescent="0.15">
      <c r="A225" s="40"/>
      <c r="B225" s="40"/>
    </row>
    <row r="226" spans="1:2" ht="15.75" customHeight="1" x14ac:dyDescent="0.15">
      <c r="A226" s="40"/>
      <c r="B226" s="40"/>
    </row>
    <row r="227" spans="1:2" ht="15.75" customHeight="1" x14ac:dyDescent="0.15">
      <c r="A227" s="40"/>
      <c r="B227" s="40"/>
    </row>
    <row r="228" spans="1:2" ht="15.75" customHeight="1" x14ac:dyDescent="0.15">
      <c r="A228" s="40"/>
      <c r="B228" s="40"/>
    </row>
    <row r="229" spans="1:2" ht="15.75" customHeight="1" x14ac:dyDescent="0.15"/>
    <row r="230" spans="1:2" ht="15.75" customHeight="1" x14ac:dyDescent="0.15"/>
    <row r="231" spans="1:2" ht="15.75" customHeight="1" x14ac:dyDescent="0.15"/>
    <row r="232" spans="1:2" ht="15.75" customHeight="1" x14ac:dyDescent="0.15"/>
    <row r="233" spans="1:2" ht="15.75" customHeight="1" x14ac:dyDescent="0.15"/>
    <row r="234" spans="1:2" ht="15.75" customHeight="1" x14ac:dyDescent="0.15"/>
    <row r="235" spans="1:2" ht="15.75" customHeight="1" x14ac:dyDescent="0.15"/>
    <row r="236" spans="1:2" ht="15.75" customHeight="1" x14ac:dyDescent="0.15"/>
    <row r="237" spans="1:2" ht="15.75" customHeight="1" x14ac:dyDescent="0.15"/>
    <row r="238" spans="1:2" ht="15.75" customHeight="1" x14ac:dyDescent="0.15"/>
    <row r="239" spans="1:2" ht="15.75" customHeight="1" x14ac:dyDescent="0.15"/>
    <row r="240" spans="1:2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24">
    <mergeCell ref="B28:C28"/>
    <mergeCell ref="F9:Q9"/>
    <mergeCell ref="R9:U9"/>
    <mergeCell ref="B1:C4"/>
    <mergeCell ref="B6:B8"/>
    <mergeCell ref="C6:C8"/>
    <mergeCell ref="D6:D8"/>
    <mergeCell ref="E6:E8"/>
    <mergeCell ref="F6:Q6"/>
    <mergeCell ref="B9:B11"/>
    <mergeCell ref="C9:C11"/>
    <mergeCell ref="D9:D11"/>
    <mergeCell ref="E9:E11"/>
    <mergeCell ref="V6:V8"/>
    <mergeCell ref="S10:S11"/>
    <mergeCell ref="T10:T11"/>
    <mergeCell ref="R6:U6"/>
    <mergeCell ref="R7:R8"/>
    <mergeCell ref="S7:S8"/>
    <mergeCell ref="T7:T8"/>
    <mergeCell ref="U7:U8"/>
    <mergeCell ref="V9:V11"/>
    <mergeCell ref="R10:R11"/>
    <mergeCell ref="U10:U11"/>
  </mergeCells>
  <hyperlinks>
    <hyperlink ref="B1" location="HOME!A1" display="            Kembali ke Pilihan Program" xr:uid="{00000000-0004-0000-0A00-000000000000}"/>
  </hyperlink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4.2890625" customWidth="1"/>
    <col min="2" max="2" width="28.41796875" customWidth="1"/>
    <col min="3" max="3" width="30.77734375" customWidth="1"/>
    <col min="4" max="4" width="27.8828125" customWidth="1"/>
    <col min="5" max="11" width="16.8359375" customWidth="1"/>
    <col min="12" max="18" width="11.15234375" customWidth="1"/>
    <col min="19" max="19" width="4.82421875" customWidth="1"/>
  </cols>
  <sheetData>
    <row r="1" spans="1:19" ht="21" x14ac:dyDescent="0.15">
      <c r="A1" s="94" t="s">
        <v>54</v>
      </c>
      <c r="B1" s="95"/>
      <c r="C1" s="60"/>
      <c r="D1" s="60"/>
      <c r="E1" s="60"/>
      <c r="F1" s="60"/>
      <c r="G1" s="60"/>
      <c r="H1" s="60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15">
      <c r="A2" s="96"/>
      <c r="B2" s="97"/>
      <c r="C2" s="61" t="s">
        <v>32</v>
      </c>
      <c r="D2" s="60"/>
      <c r="E2" s="60"/>
      <c r="F2" s="60"/>
      <c r="G2" s="60"/>
      <c r="H2" s="60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15">
      <c r="A3" s="98"/>
      <c r="B3" s="99"/>
      <c r="C3" s="61" t="s">
        <v>45</v>
      </c>
      <c r="D3" s="60"/>
      <c r="E3" s="60"/>
      <c r="F3" s="60"/>
      <c r="G3" s="60"/>
      <c r="H3" s="60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15">
      <c r="A4" s="110" t="s">
        <v>55</v>
      </c>
      <c r="B4" s="111"/>
      <c r="C4" s="60"/>
      <c r="D4" s="60"/>
      <c r="E4" s="60"/>
      <c r="F4" s="60"/>
      <c r="G4" s="60"/>
      <c r="H4" s="60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x14ac:dyDescent="0.15">
      <c r="A6" s="62"/>
      <c r="B6" s="112" t="s">
        <v>56</v>
      </c>
      <c r="C6" s="114" t="s">
        <v>46</v>
      </c>
      <c r="D6" s="108"/>
      <c r="E6" s="108"/>
      <c r="F6" s="108"/>
      <c r="G6" s="108"/>
      <c r="H6" s="108"/>
      <c r="I6" s="115"/>
      <c r="J6" s="62"/>
      <c r="K6" s="62"/>
      <c r="L6" s="62"/>
      <c r="M6" s="62"/>
      <c r="N6" s="62"/>
      <c r="O6" s="62"/>
      <c r="P6" s="62"/>
      <c r="Q6" s="62"/>
    </row>
    <row r="7" spans="1:19" ht="45" x14ac:dyDescent="0.2">
      <c r="A7" s="63"/>
      <c r="B7" s="113"/>
      <c r="C7" s="64" t="s">
        <v>47</v>
      </c>
      <c r="D7" s="64" t="s">
        <v>48</v>
      </c>
      <c r="E7" s="64" t="s">
        <v>49</v>
      </c>
      <c r="F7" s="64" t="s">
        <v>50</v>
      </c>
      <c r="G7" s="64" t="s">
        <v>51</v>
      </c>
      <c r="H7" s="64" t="s">
        <v>52</v>
      </c>
      <c r="I7" s="64" t="s">
        <v>53</v>
      </c>
      <c r="J7" s="63"/>
      <c r="K7" s="63"/>
      <c r="L7" s="63"/>
      <c r="M7" s="63"/>
      <c r="N7" s="63"/>
      <c r="O7" s="63"/>
      <c r="P7" s="63"/>
      <c r="Q7" s="63"/>
    </row>
    <row r="8" spans="1:19" x14ac:dyDescent="0.15">
      <c r="A8" s="62"/>
      <c r="B8" s="75"/>
      <c r="C8" s="65">
        <v>1</v>
      </c>
      <c r="D8" s="65">
        <v>2</v>
      </c>
      <c r="E8" s="65">
        <v>3</v>
      </c>
      <c r="F8" s="65">
        <v>4</v>
      </c>
      <c r="G8" s="65">
        <v>5</v>
      </c>
      <c r="H8" s="65">
        <v>6</v>
      </c>
      <c r="I8" s="65">
        <v>7</v>
      </c>
      <c r="J8" s="66"/>
      <c r="K8" s="66"/>
      <c r="L8" s="66"/>
      <c r="M8" s="66"/>
      <c r="N8" s="66"/>
      <c r="O8" s="66"/>
      <c r="P8" s="66"/>
      <c r="Q8" s="62"/>
    </row>
    <row r="9" spans="1:19" ht="14.25" x14ac:dyDescent="0.15">
      <c r="B9" s="67" t="e">
        <f>#REF!</f>
        <v>#REF!</v>
      </c>
      <c r="C9" s="49">
        <f ca="1">IFERROR(__xludf.DUMMYFUNCTION("IMPORTRANGE(""https://docs.google.com/spreadsheets/d/1P0UTisakTE5EAx-MYEjY2DmhSnLNqqRm6P3NrlYXL2I/edit#gid=1892753874"",""Rekap KTR!$E$6"")"),6)</f>
        <v>6</v>
      </c>
      <c r="D9" s="49">
        <f ca="1">IFERROR(__xludf.DUMMYFUNCTION("IMPORTRANGE(""https://docs.google.com/spreadsheets/d/1P0UTisakTE5EAx-MYEjY2DmhSnLNqqRm6P3NrlYXL2I/edit#gid=1892753874"",""Rekap KTR!$E$7"")"),26)</f>
        <v>26</v>
      </c>
      <c r="E9" s="49">
        <f ca="1">IFERROR(__xludf.DUMMYFUNCTION("IMPORTRANGE(""https://docs.google.com/spreadsheets/d/1P0UTisakTE5EAx-MYEjY2DmhSnLNqqRm6P3NrlYXL2I/edit#gid=1892753874"",""Rekap KTR!$E$8"")"),56)</f>
        <v>56</v>
      </c>
      <c r="F9" s="49">
        <f ca="1">IFERROR(__xludf.DUMMYFUNCTION("IMPORTRANGE(""https://docs.google.com/spreadsheets/d/1P0UTisakTE5EAx-MYEjY2DmhSnLNqqRm6P3NrlYXL2I/edit#gid=1892753874"",""Rekap KTR!$E$9"")"),8)</f>
        <v>8</v>
      </c>
      <c r="G9" s="49">
        <f ca="1">IFERROR(__xludf.DUMMYFUNCTION("IMPORTRANGE(""https://docs.google.com/spreadsheets/d/1P0UTisakTE5EAx-MYEjY2DmhSnLNqqRm6P3NrlYXL2I/edit#gid=1892753874"",""Rekap KTR!$E$10"")"),0)</f>
        <v>0</v>
      </c>
      <c r="H9" s="49">
        <f ca="1">IFERROR(__xludf.DUMMYFUNCTION("IMPORTRANGE(""https://docs.google.com/spreadsheets/d/1P0UTisakTE5EAx-MYEjY2DmhSnLNqqRm6P3NrlYXL2I/edit#gid=1892753874"",""Rekap KTR!$E$11"")"),8)</f>
        <v>8</v>
      </c>
      <c r="I9" s="49">
        <f ca="1">IFERROR(__xludf.DUMMYFUNCTION("IMPORTRANGE(""https://docs.google.com/spreadsheets/d/1P0UTisakTE5EAx-MYEjY2DmhSnLNqqRm6P3NrlYXL2I/edit#gid=1892753874"",""Rekap KTR!$E$12"")"),0)</f>
        <v>0</v>
      </c>
    </row>
    <row r="10" spans="1:19" ht="14.25" x14ac:dyDescent="0.15">
      <c r="B10" s="67" t="e">
        <f>#REF!</f>
        <v>#REF!</v>
      </c>
      <c r="C10" s="49">
        <f ca="1">IFERROR(__xludf.DUMMYFUNCTION("IMPORTRANGE(""https://docs.google.com/spreadsheets/d/1jB-UnyPBzGq1HOZkIVtft_Wo28OEKcZNsVgS5r_boTE/edit#gid=1522333227"",""Rekap KTR!$E$6"")"),12)</f>
        <v>12</v>
      </c>
      <c r="D10" s="49">
        <f ca="1">IFERROR(__xludf.DUMMYFUNCTION("IMPORTRANGE(""https://docs.google.com/spreadsheets/d/1jB-UnyPBzGq1HOZkIVtft_Wo28OEKcZNsVgS5r_boTE/edit#gid=1522333227"",""Rekap KTR!$E$7"")"),53)</f>
        <v>53</v>
      </c>
      <c r="E10" s="49">
        <f ca="1">IFERROR(__xludf.DUMMYFUNCTION("IMPORTRANGE(""https://docs.google.com/spreadsheets/d/1jB-UnyPBzGq1HOZkIVtft_Wo28OEKcZNsVgS5r_boTE/edit#gid=1522333227"",""Rekap KTR!$E$8"")"),56)</f>
        <v>56</v>
      </c>
      <c r="F10" s="49" t="str">
        <f ca="1">IFERROR(__xludf.DUMMYFUNCTION("IMPORTRANGE(""https://docs.google.com/spreadsheets/d/1jB-UnyPBzGq1HOZkIVtft_Wo28OEKcZNsVgS5r_boTE/edit#gid=1522333227"",""Rekap KTR!$E$9"")"),"")</f>
        <v/>
      </c>
      <c r="G10" s="49">
        <f ca="1">IFERROR(__xludf.DUMMYFUNCTION("IMPORTRANGE(""https://docs.google.com/spreadsheets/d/1jB-UnyPBzGq1HOZkIVtft_Wo28OEKcZNsVgS5r_boTE/edit#gid=1522333227"",""Rekap KTR!$E$10"")"),0)</f>
        <v>0</v>
      </c>
      <c r="H10" s="49" t="str">
        <f ca="1">IFERROR(__xludf.DUMMYFUNCTION("IMPORTRANGE(""https://docs.google.com/spreadsheets/d/1jB-UnyPBzGq1HOZkIVtft_Wo28OEKcZNsVgS5r_boTE/edit#gid=1522333227"",""Rekap KTR!$E$11"")"),"")</f>
        <v/>
      </c>
      <c r="I10" s="49">
        <f ca="1">IFERROR(__xludf.DUMMYFUNCTION("IMPORTRANGE(""https://docs.google.com/spreadsheets/d/1jB-UnyPBzGq1HOZkIVtft_Wo28OEKcZNsVgS5r_boTE/edit#gid=1522333227"",""Rekap KTR!$E$12"")"),0)</f>
        <v>0</v>
      </c>
    </row>
    <row r="11" spans="1:19" ht="14.25" x14ac:dyDescent="0.15">
      <c r="B11" s="67" t="e">
        <f>#REF!</f>
        <v>#REF!</v>
      </c>
      <c r="C11" s="49">
        <f ca="1">IFERROR(__xludf.DUMMYFUNCTION("IMPORTRANGE(""https://docs.google.com/spreadsheets/d/1gHFrRpJ5fnyxfJI-jxT5z1B1L7rSV8E5sIZEN90Rfhc/edit#gid=1522333227"",""Rekap KTR!$E$6"")"),4)</f>
        <v>4</v>
      </c>
      <c r="D11" s="49">
        <f ca="1">IFERROR(__xludf.DUMMYFUNCTION("IMPORTRANGE(""https://docs.google.com/spreadsheets/d/1gHFrRpJ5fnyxfJI-jxT5z1B1L7rSV8E5sIZEN90Rfhc/edit#gid=1522333227"",""Rekap KTR!$E$7"")"),29)</f>
        <v>29</v>
      </c>
      <c r="E11" s="49">
        <f ca="1">IFERROR(__xludf.DUMMYFUNCTION("IMPORTRANGE(""https://docs.google.com/spreadsheets/d/1gHFrRpJ5fnyxfJI-jxT5z1B1L7rSV8E5sIZEN90Rfhc/edit#gid=1522333227"",""Rekap KTR!$E$8"")"),31)</f>
        <v>31</v>
      </c>
      <c r="F11" s="49" t="str">
        <f ca="1">IFERROR(__xludf.DUMMYFUNCTION("IMPORTRANGE(""https://docs.google.com/spreadsheets/d/1gHFrRpJ5fnyxfJI-jxT5z1B1L7rSV8E5sIZEN90Rfhc/edit#gid=1522333227"",""Rekap KTR!$E$9"")"),"")</f>
        <v/>
      </c>
      <c r="G11" s="49" t="str">
        <f ca="1">IFERROR(__xludf.DUMMYFUNCTION("IMPORTRANGE(""https://docs.google.com/spreadsheets/d/1gHFrRpJ5fnyxfJI-jxT5z1B1L7rSV8E5sIZEN90Rfhc/edit#gid=1522333227"",""Rekap KTR!$E$10"")"),"")</f>
        <v/>
      </c>
      <c r="H11" s="49" t="str">
        <f ca="1">IFERROR(__xludf.DUMMYFUNCTION("IMPORTRANGE(""https://docs.google.com/spreadsheets/d/1gHFrRpJ5fnyxfJI-jxT5z1B1L7rSV8E5sIZEN90Rfhc/edit#gid=1522333227"",""Rekap KTR!$E$11"")"),"")</f>
        <v/>
      </c>
      <c r="I11" s="49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.25" x14ac:dyDescent="0.15">
      <c r="B12" s="67" t="e">
        <f>#REF!</f>
        <v>#REF!</v>
      </c>
      <c r="C12" s="49">
        <f ca="1">IFERROR(__xludf.DUMMYFUNCTION("IMPORTRANGE(""https://docs.google.com/spreadsheets/d/1saC2UP2JuYJ7WRPxjh8EMf_BSfGZ18Ous8sVKGLr-Ng/edit#gid=1892753874"",""Rekap KTR!$E$6"")"),8)</f>
        <v>8</v>
      </c>
      <c r="D12" s="49">
        <f ca="1">IFERROR(__xludf.DUMMYFUNCTION("IMPORTRANGE(""https://docs.google.com/spreadsheets/d/1saC2UP2JuYJ7WRPxjh8EMf_BSfGZ18Ous8sVKGLr-Ng/edit#gid=1892753874"",""Rekap KTR!$E$7"")"),41)</f>
        <v>41</v>
      </c>
      <c r="E12" s="49">
        <f ca="1">IFERROR(__xludf.DUMMYFUNCTION("IMPORTRANGE(""https://docs.google.com/spreadsheets/d/1saC2UP2JuYJ7WRPxjh8EMf_BSfGZ18Ous8sVKGLr-Ng/edit#gid=1892753874"",""Rekap KTR!$E$8"")"),41)</f>
        <v>41</v>
      </c>
      <c r="F12" s="49">
        <f ca="1">IFERROR(__xludf.DUMMYFUNCTION("IMPORTRANGE(""https://docs.google.com/spreadsheets/d/1saC2UP2JuYJ7WRPxjh8EMf_BSfGZ18Ous8sVKGLr-Ng/edit#gid=1892753874"",""Rekap KTR!$E$9"")"),14)</f>
        <v>14</v>
      </c>
      <c r="G12" s="49">
        <f ca="1">IFERROR(__xludf.DUMMYFUNCTION("IMPORTRANGE(""https://docs.google.com/spreadsheets/d/1saC2UP2JuYJ7WRPxjh8EMf_BSfGZ18Ous8sVKGLr-Ng/edit#gid=1892753874"",""Rekap KTR!$E$10"")"),0)</f>
        <v>0</v>
      </c>
      <c r="H12" s="49">
        <f ca="1">IFERROR(__xludf.DUMMYFUNCTION("IMPORTRANGE(""https://docs.google.com/spreadsheets/d/1saC2UP2JuYJ7WRPxjh8EMf_BSfGZ18Ous8sVKGLr-Ng/edit#gid=1892753874"",""Rekap KTR!$E$11"")"),0)</f>
        <v>0</v>
      </c>
      <c r="I12" s="49">
        <f ca="1">IFERROR(__xludf.DUMMYFUNCTION("IMPORTRANGE(""https://docs.google.com/spreadsheets/d/1saC2UP2JuYJ7WRPxjh8EMf_BSfGZ18Ous8sVKGLr-Ng/edit#gid=1892753874"",""Rekap KTR!$E$12"")"),0)</f>
        <v>0</v>
      </c>
    </row>
    <row r="13" spans="1:19" ht="14.25" x14ac:dyDescent="0.15">
      <c r="B13" s="67" t="e">
        <f>#REF!</f>
        <v>#REF!</v>
      </c>
      <c r="C13" s="49">
        <f ca="1">IFERROR(__xludf.DUMMYFUNCTION("IMPORTRANGE(""https://docs.google.com/spreadsheets/d/1ApPPV7RPuDI1EDOKjkoDXkV5Yd_NofeQTYTtAHUYGGw/edit#gid=1522333227"",""Rekap KTR!$E$6"")"),3)</f>
        <v>3</v>
      </c>
      <c r="D13" s="49">
        <f ca="1">IFERROR(__xludf.DUMMYFUNCTION("IMPORTRANGE(""https://docs.google.com/spreadsheets/d/1ApPPV7RPuDI1EDOKjkoDXkV5Yd_NofeQTYTtAHUYGGw/edit#gid=1522333227"",""Rekap KTR!$E$7"")"),20)</f>
        <v>20</v>
      </c>
      <c r="E13" s="49">
        <f ca="1">IFERROR(__xludf.DUMMYFUNCTION("IMPORTRANGE(""https://docs.google.com/spreadsheets/d/1ApPPV7RPuDI1EDOKjkoDXkV5Yd_NofeQTYTtAHUYGGw/edit#gid=1522333227"",""Rekap KTR!$E$8"")"),6)</f>
        <v>6</v>
      </c>
      <c r="F13" s="49" t="str">
        <f ca="1">IFERROR(__xludf.DUMMYFUNCTION("IMPORTRANGE(""https://docs.google.com/spreadsheets/d/1ApPPV7RPuDI1EDOKjkoDXkV5Yd_NofeQTYTtAHUYGGw/edit#gid=1522333227"",""Rekap KTR!$E$9"")"),"")</f>
        <v/>
      </c>
      <c r="G13" s="49" t="str">
        <f ca="1">IFERROR(__xludf.DUMMYFUNCTION("IMPORTRANGE(""https://docs.google.com/spreadsheets/d/1ApPPV7RPuDI1EDOKjkoDXkV5Yd_NofeQTYTtAHUYGGw/edit#gid=1522333227"",""Rekap KTR!$E$10"")"),"")</f>
        <v/>
      </c>
      <c r="H13" s="49" t="str">
        <f ca="1">IFERROR(__xludf.DUMMYFUNCTION("IMPORTRANGE(""https://docs.google.com/spreadsheets/d/1ApPPV7RPuDI1EDOKjkoDXkV5Yd_NofeQTYTtAHUYGGw/edit#gid=1522333227"",""Rekap KTR!$E$11"")"),"")</f>
        <v/>
      </c>
      <c r="I13" s="49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.25" x14ac:dyDescent="0.15">
      <c r="B14" s="67" t="e">
        <f>#REF!</f>
        <v>#REF!</v>
      </c>
      <c r="C14" s="49">
        <f ca="1">IFERROR(__xludf.DUMMYFUNCTION("IMPORTRANGE(""https://docs.google.com/spreadsheets/d/1iV_nqIfkAdyO_vl_QARxWbfnGcK2KlCCS94aVJ2QbTI/edit#gid=1522333227"",""Rekap KTR!$E$6"")"),6)</f>
        <v>6</v>
      </c>
      <c r="D14" s="49">
        <f ca="1">IFERROR(__xludf.DUMMYFUNCTION("IMPORTRANGE(""https://docs.google.com/spreadsheets/d/1iV_nqIfkAdyO_vl_QARxWbfnGcK2KlCCS94aVJ2QbTI/edit#gid=1522333227"",""Rekap KTR!$E$7"")"),26)</f>
        <v>26</v>
      </c>
      <c r="E14" s="49">
        <f ca="1">IFERROR(__xludf.DUMMYFUNCTION("IMPORTRANGE(""https://docs.google.com/spreadsheets/d/1iV_nqIfkAdyO_vl_QARxWbfnGcK2KlCCS94aVJ2QbTI/edit#gid=1522333227"",""Rekap KTR!$E$8"")"),13)</f>
        <v>13</v>
      </c>
      <c r="F14" s="49">
        <f ca="1">IFERROR(__xludf.DUMMYFUNCTION("IMPORTRANGE(""https://docs.google.com/spreadsheets/d/1iV_nqIfkAdyO_vl_QARxWbfnGcK2KlCCS94aVJ2QbTI/edit#gid=1522333227"",""Rekap KTR!$E$9"")"),0)</f>
        <v>0</v>
      </c>
      <c r="G14" s="49">
        <f ca="1">IFERROR(__xludf.DUMMYFUNCTION("IMPORTRANGE(""https://docs.google.com/spreadsheets/d/1iV_nqIfkAdyO_vl_QARxWbfnGcK2KlCCS94aVJ2QbTI/edit#gid=1522333227"",""Rekap KTR!$E$10"")"),0)</f>
        <v>0</v>
      </c>
      <c r="H14" s="49">
        <f ca="1">IFERROR(__xludf.DUMMYFUNCTION("IMPORTRANGE(""https://docs.google.com/spreadsheets/d/1iV_nqIfkAdyO_vl_QARxWbfnGcK2KlCCS94aVJ2QbTI/edit#gid=1522333227"",""Rekap KTR!$E$11"")"),0)</f>
        <v>0</v>
      </c>
      <c r="I14" s="49">
        <f ca="1">IFERROR(__xludf.DUMMYFUNCTION("IMPORTRANGE(""https://docs.google.com/spreadsheets/d/1iV_nqIfkAdyO_vl_QARxWbfnGcK2KlCCS94aVJ2QbTI/edit#gid=1522333227"",""Rekap KTR!$E$12"")"),0)</f>
        <v>0</v>
      </c>
    </row>
    <row r="15" spans="1:19" ht="14.25" x14ac:dyDescent="0.15">
      <c r="B15" s="67" t="e">
        <f>#REF!</f>
        <v>#REF!</v>
      </c>
      <c r="C15" s="49">
        <f ca="1">IFERROR(__xludf.DUMMYFUNCTION("IMPORTRANGE(""https://docs.google.com/spreadsheets/d/1zz70Lj6oBg1MOPSG6KJcsMeqBNtXMHYICRkg7kpt_d0/edit#gid=1892753874"",""Rekap KTR!$E$6"")"),9)</f>
        <v>9</v>
      </c>
      <c r="D15" s="49">
        <f ca="1">IFERROR(__xludf.DUMMYFUNCTION("IMPORTRANGE(""https://docs.google.com/spreadsheets/d/1zz70Lj6oBg1MOPSG6KJcsMeqBNtXMHYICRkg7kpt_d0/edit#gid=1892753874"",""Rekap KTR!$E$7"")"),47)</f>
        <v>47</v>
      </c>
      <c r="E15" s="49">
        <f ca="1">IFERROR(__xludf.DUMMYFUNCTION("IMPORTRANGE(""https://docs.google.com/spreadsheets/d/1zz70Lj6oBg1MOPSG6KJcsMeqBNtXMHYICRkg7kpt_d0/edit#gid=1892753874"",""Rekap KTR!$E$8"")"),29)</f>
        <v>29</v>
      </c>
      <c r="F15" s="49">
        <f ca="1">IFERROR(__xludf.DUMMYFUNCTION("IMPORTRANGE(""https://docs.google.com/spreadsheets/d/1zz70Lj6oBg1MOPSG6KJcsMeqBNtXMHYICRkg7kpt_d0/edit#gid=1892753874"",""Rekap KTR!$E$9"")"),3)</f>
        <v>3</v>
      </c>
      <c r="G15" s="49">
        <f ca="1">IFERROR(__xludf.DUMMYFUNCTION("IMPORTRANGE(""https://docs.google.com/spreadsheets/d/1zz70Lj6oBg1MOPSG6KJcsMeqBNtXMHYICRkg7kpt_d0/edit#gid=1892753874"",""Rekap KTR!$E$10"")"),1)</f>
        <v>1</v>
      </c>
      <c r="H15" s="49">
        <f ca="1">IFERROR(__xludf.DUMMYFUNCTION("IMPORTRANGE(""https://docs.google.com/spreadsheets/d/1zz70Lj6oBg1MOPSG6KJcsMeqBNtXMHYICRkg7kpt_d0/edit#gid=1892753874"",""Rekap KTR!$E$11"")"),4)</f>
        <v>4</v>
      </c>
      <c r="I15" s="49">
        <f ca="1">IFERROR(__xludf.DUMMYFUNCTION("IMPORTRANGE(""https://docs.google.com/spreadsheets/d/1zz70Lj6oBg1MOPSG6KJcsMeqBNtXMHYICRkg7kpt_d0/edit#gid=1892753874"",""Rekap KTR!$E$12"")"),4)</f>
        <v>4</v>
      </c>
    </row>
    <row r="16" spans="1:19" ht="14.25" x14ac:dyDescent="0.15">
      <c r="B16" s="67" t="e">
        <f>#REF!</f>
        <v>#REF!</v>
      </c>
      <c r="C16" s="49">
        <f ca="1">IFERROR(__xludf.DUMMYFUNCTION("IMPORTRANGE(""https://docs.google.com/spreadsheets/d/1773f1iHRnXhbrVjAHR7zUpu3neZdvtp1a2ikB9LJu8U/edit#gid=1522333227"",""Rekap KTR!$E$6"")"),39)</f>
        <v>39</v>
      </c>
      <c r="D16" s="49">
        <f ca="1">IFERROR(__xludf.DUMMYFUNCTION("IMPORTRANGE(""https://docs.google.com/spreadsheets/d/1773f1iHRnXhbrVjAHR7zUpu3neZdvtp1a2ikB9LJu8U/edit#gid=1522333227"",""Rekap KTR!$E$7"")"),43)</f>
        <v>43</v>
      </c>
      <c r="E16" s="49">
        <f ca="1">IFERROR(__xludf.DUMMYFUNCTION("IMPORTRANGE(""https://docs.google.com/spreadsheets/d/1773f1iHRnXhbrVjAHR7zUpu3neZdvtp1a2ikB9LJu8U/edit#gid=1522333227"",""Rekap KTR!$E$8"")"),32)</f>
        <v>32</v>
      </c>
      <c r="F16" s="49">
        <f ca="1">IFERROR(__xludf.DUMMYFUNCTION("IMPORTRANGE(""https://docs.google.com/spreadsheets/d/1773f1iHRnXhbrVjAHR7zUpu3neZdvtp1a2ikB9LJu8U/edit#gid=1522333227"",""Rekap KTR!$E$9"")"),21)</f>
        <v>21</v>
      </c>
      <c r="G16" s="49">
        <f ca="1">IFERROR(__xludf.DUMMYFUNCTION("IMPORTRANGE(""https://docs.google.com/spreadsheets/d/1773f1iHRnXhbrVjAHR7zUpu3neZdvtp1a2ikB9LJu8U/edit#gid=1522333227"",""Rekap KTR!$E$10"")"),0)</f>
        <v>0</v>
      </c>
      <c r="H16" s="49">
        <f ca="1">IFERROR(__xludf.DUMMYFUNCTION("IMPORTRANGE(""https://docs.google.com/spreadsheets/d/1773f1iHRnXhbrVjAHR7zUpu3neZdvtp1a2ikB9LJu8U/edit#gid=1522333227"",""Rekap KTR!$E$11"")"),16)</f>
        <v>16</v>
      </c>
      <c r="I16" s="49">
        <f ca="1">IFERROR(__xludf.DUMMYFUNCTION("IMPORTRANGE(""https://docs.google.com/spreadsheets/d/1773f1iHRnXhbrVjAHR7zUpu3neZdvtp1a2ikB9LJu8U/edit#gid=1522333227"",""Rekap KTR!$E$12"")"),0)</f>
        <v>0</v>
      </c>
    </row>
    <row r="17" spans="2:9" ht="14.25" x14ac:dyDescent="0.15">
      <c r="B17" s="67" t="e">
        <f>#REF!</f>
        <v>#REF!</v>
      </c>
      <c r="C17" s="49">
        <f ca="1">IFERROR(__xludf.DUMMYFUNCTION("IMPORTRANGE(""https://docs.google.com/spreadsheets/d/10iNzN1LqaStEosZKEbqcoOm3IdodNsG31q_nR0Y6WGo/edit#gid=1522333227"",""Rekap KTR!$E$6"")"),1)</f>
        <v>1</v>
      </c>
      <c r="D17" s="49">
        <f ca="1">IFERROR(__xludf.DUMMYFUNCTION("IMPORTRANGE(""https://docs.google.com/spreadsheets/d/10iNzN1LqaStEosZKEbqcoOm3IdodNsG31q_nR0Y6WGo/edit#gid=1522333227"",""Rekap KTR!$E$7"")"),27)</f>
        <v>27</v>
      </c>
      <c r="E17" s="49">
        <f ca="1">IFERROR(__xludf.DUMMYFUNCTION("IMPORTRANGE(""https://docs.google.com/spreadsheets/d/10iNzN1LqaStEosZKEbqcoOm3IdodNsG31q_nR0Y6WGo/edit#gid=1522333227"",""Rekap KTR!$E$8"")"),2)</f>
        <v>2</v>
      </c>
      <c r="F17" s="49">
        <f ca="1">IFERROR(__xludf.DUMMYFUNCTION("IMPORTRANGE(""https://docs.google.com/spreadsheets/d/10iNzN1LqaStEosZKEbqcoOm3IdodNsG31q_nR0Y6WGo/edit#gid=1522333227"",""Rekap KTR!$E$9"")"),3)</f>
        <v>3</v>
      </c>
      <c r="G17" s="49">
        <f ca="1">IFERROR(__xludf.DUMMYFUNCTION("IMPORTRANGE(""https://docs.google.com/spreadsheets/d/10iNzN1LqaStEosZKEbqcoOm3IdodNsG31q_nR0Y6WGo/edit#gid=1522333227"",""Rekap KTR!$E$10"")"),0)</f>
        <v>0</v>
      </c>
      <c r="H17" s="49">
        <f ca="1">IFERROR(__xludf.DUMMYFUNCTION("IMPORTRANGE(""https://docs.google.com/spreadsheets/d/10iNzN1LqaStEosZKEbqcoOm3IdodNsG31q_nR0Y6WGo/edit#gid=1522333227"",""Rekap KTR!$E$11"")"),2)</f>
        <v>2</v>
      </c>
      <c r="I17" s="49">
        <f ca="1">IFERROR(__xludf.DUMMYFUNCTION("IMPORTRANGE(""https://docs.google.com/spreadsheets/d/10iNzN1LqaStEosZKEbqcoOm3IdodNsG31q_nR0Y6WGo/edit#gid=1522333227"",""Rekap KTR!$E$12"")"),1)</f>
        <v>1</v>
      </c>
    </row>
    <row r="18" spans="2:9" ht="14.25" x14ac:dyDescent="0.15">
      <c r="B18" s="67" t="e">
        <f>#REF!</f>
        <v>#REF!</v>
      </c>
      <c r="C18" s="49">
        <f ca="1">IFERROR(__xludf.DUMMYFUNCTION("IMPORTRANGE(""https://docs.google.com/spreadsheets/d/17PsIU8VcCQeO2M4DM42K9vv32GkafaaF1LxQevQ8tAQ/edit#gid=1892753874"",""Rekap KTR!$E$6"")"),2)</f>
        <v>2</v>
      </c>
      <c r="D18" s="49">
        <f ca="1">IFERROR(__xludf.DUMMYFUNCTION("IMPORTRANGE(""https://docs.google.com/spreadsheets/d/17PsIU8VcCQeO2M4DM42K9vv32GkafaaF1LxQevQ8tAQ/edit#gid=1892753874"",""Rekap KTR!$E$7"")"),21)</f>
        <v>21</v>
      </c>
      <c r="E18" s="49">
        <f ca="1">IFERROR(__xludf.DUMMYFUNCTION("IMPORTRANGE(""https://docs.google.com/spreadsheets/d/17PsIU8VcCQeO2M4DM42K9vv32GkafaaF1LxQevQ8tAQ/edit#gid=1892753874"",""Rekap KTR!$E$8"")"),17)</f>
        <v>17</v>
      </c>
      <c r="F18" s="49">
        <f ca="1">IFERROR(__xludf.DUMMYFUNCTION("IMPORTRANGE(""https://docs.google.com/spreadsheets/d/17PsIU8VcCQeO2M4DM42K9vv32GkafaaF1LxQevQ8tAQ/edit#gid=1892753874"",""Rekap KTR!$E$9"")"),0)</f>
        <v>0</v>
      </c>
      <c r="G18" s="49">
        <f ca="1">IFERROR(__xludf.DUMMYFUNCTION("IMPORTRANGE(""https://docs.google.com/spreadsheets/d/17PsIU8VcCQeO2M4DM42K9vv32GkafaaF1LxQevQ8tAQ/edit#gid=1892753874"",""Rekap KTR!$E$10"")"),0)</f>
        <v>0</v>
      </c>
      <c r="H18" s="49">
        <f ca="1">IFERROR(__xludf.DUMMYFUNCTION("IMPORTRANGE(""https://docs.google.com/spreadsheets/d/17PsIU8VcCQeO2M4DM42K9vv32GkafaaF1LxQevQ8tAQ/edit#gid=1892753874"",""Rekap KTR!$E$11"")"),0)</f>
        <v>0</v>
      </c>
      <c r="I18" s="49">
        <f ca="1">IFERROR(__xludf.DUMMYFUNCTION("IMPORTRANGE(""https://docs.google.com/spreadsheets/d/17PsIU8VcCQeO2M4DM42K9vv32GkafaaF1LxQevQ8tAQ/edit#gid=1892753874"",""Rekap KTR!$E$12"")"),0)</f>
        <v>0</v>
      </c>
    </row>
    <row r="19" spans="2:9" ht="14.25" x14ac:dyDescent="0.15">
      <c r="B19" s="67" t="e">
        <f>#REF!</f>
        <v>#REF!</v>
      </c>
      <c r="C19" s="49">
        <f ca="1">IFERROR(__xludf.DUMMYFUNCTION("IMPORTRANGE(""https://docs.google.com/spreadsheets/d/1d0Y9C6M4-a1TT0nIK2Gc4IXnbVyxoBB3v7o1biNGAwY/edit#gid=1892753874"",""Rekap KTR!$E$6"")"),6)</f>
        <v>6</v>
      </c>
      <c r="D19" s="49">
        <f ca="1">IFERROR(__xludf.DUMMYFUNCTION("IMPORTRANGE(""https://docs.google.com/spreadsheets/d/1d0Y9C6M4-a1TT0nIK2Gc4IXnbVyxoBB3v7o1biNGAwY/edit#gid=1892753874"",""Rekap KTR!$E$7"")"),27)</f>
        <v>27</v>
      </c>
      <c r="E19" s="49">
        <f ca="1">IFERROR(__xludf.DUMMYFUNCTION("IMPORTRANGE(""https://docs.google.com/spreadsheets/d/1d0Y9C6M4-a1TT0nIK2Gc4IXnbVyxoBB3v7o1biNGAwY/edit#gid=1892753874"",""Rekap KTR!$E$8"")"),7)</f>
        <v>7</v>
      </c>
      <c r="F19" s="49">
        <f ca="1">IFERROR(__xludf.DUMMYFUNCTION("IMPORTRANGE(""https://docs.google.com/spreadsheets/d/1d0Y9C6M4-a1TT0nIK2Gc4IXnbVyxoBB3v7o1biNGAwY/edit#gid=1892753874"",""Rekap KTR!$E$9"")"),0)</f>
        <v>0</v>
      </c>
      <c r="G19" s="49">
        <f ca="1">IFERROR(__xludf.DUMMYFUNCTION("IMPORTRANGE(""https://docs.google.com/spreadsheets/d/1d0Y9C6M4-a1TT0nIK2Gc4IXnbVyxoBB3v7o1biNGAwY/edit#gid=1892753874"",""Rekap KTR!$E$10"")"),0)</f>
        <v>0</v>
      </c>
      <c r="H19" s="49">
        <f ca="1">IFERROR(__xludf.DUMMYFUNCTION("IMPORTRANGE(""https://docs.google.com/spreadsheets/d/1d0Y9C6M4-a1TT0nIK2Gc4IXnbVyxoBB3v7o1biNGAwY/edit#gid=1892753874"",""Rekap KTR!$E$11"")"),0)</f>
        <v>0</v>
      </c>
      <c r="I19" s="49">
        <f ca="1">IFERROR(__xludf.DUMMYFUNCTION("IMPORTRANGE(""https://docs.google.com/spreadsheets/d/1d0Y9C6M4-a1TT0nIK2Gc4IXnbVyxoBB3v7o1biNGAwY/edit#gid=1892753874"",""Rekap KTR!$E$12"")"),0)</f>
        <v>0</v>
      </c>
    </row>
    <row r="20" spans="2:9" ht="14.25" x14ac:dyDescent="0.15">
      <c r="B20" s="67" t="e">
        <f>#REF!</f>
        <v>#REF!</v>
      </c>
      <c r="C20" s="49">
        <f ca="1">IFERROR(__xludf.DUMMYFUNCTION("IMPORTRANGE(""https://docs.google.com/spreadsheets/d/1fXA1yQzUNddp7fjR2KF22o4rRJu9lP9Ja9Oi1mRbg_E/edit#gid=1892753874"",""Rekap KTR!$E$6"")"),2)</f>
        <v>2</v>
      </c>
      <c r="D20" s="49">
        <f ca="1">IFERROR(__xludf.DUMMYFUNCTION("IMPORTRANGE(""https://docs.google.com/spreadsheets/d/1fXA1yQzUNddp7fjR2KF22o4rRJu9lP9Ja9Oi1mRbg_E/edit#gid=1892753874"",""Rekap KTR!$E$7"")"),31)</f>
        <v>31</v>
      </c>
      <c r="E20" s="49">
        <f ca="1">IFERROR(__xludf.DUMMYFUNCTION("IMPORTRANGE(""https://docs.google.com/spreadsheets/d/1fXA1yQzUNddp7fjR2KF22o4rRJu9lP9Ja9Oi1mRbg_E/edit#gid=1892753874"",""Rekap KTR!$E$8"")"),29)</f>
        <v>29</v>
      </c>
      <c r="F20" s="49">
        <f ca="1">IFERROR(__xludf.DUMMYFUNCTION("IMPORTRANGE(""https://docs.google.com/spreadsheets/d/1fXA1yQzUNddp7fjR2KF22o4rRJu9lP9Ja9Oi1mRbg_E/edit#gid=1892753874"",""Rekap KTR!$E$9"")"),19)</f>
        <v>19</v>
      </c>
      <c r="G20" s="49">
        <f ca="1">IFERROR(__xludf.DUMMYFUNCTION("IMPORTRANGE(""https://docs.google.com/spreadsheets/d/1fXA1yQzUNddp7fjR2KF22o4rRJu9lP9Ja9Oi1mRbg_E/edit#gid=1892753874"",""Rekap KTR!$E$10"")"),1)</f>
        <v>1</v>
      </c>
      <c r="H20" s="49">
        <f ca="1">IFERROR(__xludf.DUMMYFUNCTION("IMPORTRANGE(""https://docs.google.com/spreadsheets/d/1fXA1yQzUNddp7fjR2KF22o4rRJu9lP9Ja9Oi1mRbg_E/edit#gid=1892753874"",""Rekap KTR!$E$11"")"),1)</f>
        <v>1</v>
      </c>
      <c r="I20" s="49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15">
      <c r="B21" s="67" t="e">
        <f>#REF!</f>
        <v>#REF!</v>
      </c>
      <c r="C21" s="49">
        <f ca="1">IFERROR(__xludf.DUMMYFUNCTION("IMPORTRANGE(""https://docs.google.com/spreadsheets/d/155aL1qCqCleHwMP0Y8LT5akEbK27R0RIka-lAkeoeEo/edit#gid=1892753874"",""Rekap KTR!$E$6"")"),10)</f>
        <v>10</v>
      </c>
      <c r="D21" s="49">
        <f ca="1">IFERROR(__xludf.DUMMYFUNCTION("IMPORTRANGE(""https://docs.google.com/spreadsheets/d/155aL1qCqCleHwMP0Y8LT5akEbK27R0RIka-lAkeoeEo/edit#gid=1892753874"",""Rekap KTR!$E$7"")"),47)</f>
        <v>47</v>
      </c>
      <c r="E21" s="49">
        <f ca="1">IFERROR(__xludf.DUMMYFUNCTION("IMPORTRANGE(""https://docs.google.com/spreadsheets/d/155aL1qCqCleHwMP0Y8LT5akEbK27R0RIka-lAkeoeEo/edit#gid=1892753874"",""Rekap KTR!$E$8"")"),5)</f>
        <v>5</v>
      </c>
      <c r="F21" s="49" t="str">
        <f ca="1">IFERROR(__xludf.DUMMYFUNCTION("IMPORTRANGE(""https://docs.google.com/spreadsheets/d/155aL1qCqCleHwMP0Y8LT5akEbK27R0RIka-lAkeoeEo/edit#gid=1892753874"",""Rekap KTR!$E$9"")"),"")</f>
        <v/>
      </c>
      <c r="G21" s="49" t="str">
        <f ca="1">IFERROR(__xludf.DUMMYFUNCTION("IMPORTRANGE(""https://docs.google.com/spreadsheets/d/155aL1qCqCleHwMP0Y8LT5akEbK27R0RIka-lAkeoeEo/edit#gid=1892753874"",""Rekap KTR!$E$10"")"),"")</f>
        <v/>
      </c>
      <c r="H21" s="49" t="str">
        <f ca="1">IFERROR(__xludf.DUMMYFUNCTION("IMPORTRANGE(""https://docs.google.com/spreadsheets/d/155aL1qCqCleHwMP0Y8LT5akEbK27R0RIka-lAkeoeEo/edit#gid=1892753874"",""Rekap KTR!$E$11"")"),"")</f>
        <v/>
      </c>
      <c r="I21" s="49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15">
      <c r="B22" s="67" t="e">
        <f>#REF!</f>
        <v>#REF!</v>
      </c>
      <c r="C22" s="49">
        <f ca="1">IFERROR(__xludf.DUMMYFUNCTION("IMPORTRANGE(""https://docs.google.com/spreadsheets/d/13FRR1udp0c0o6Nmp_8YHiON78PXr-L4FqQQ028JcBYY/edit#gid=1522333227"",""Rekap KTR!$E$6"")"),7)</f>
        <v>7</v>
      </c>
      <c r="D22" s="49">
        <f ca="1">IFERROR(__xludf.DUMMYFUNCTION("IMPORTRANGE(""https://docs.google.com/spreadsheets/d/13FRR1udp0c0o6Nmp_8YHiON78PXr-L4FqQQ028JcBYY/edit#gid=1522333227"",""Rekap KTR!$E$7"")"),31)</f>
        <v>31</v>
      </c>
      <c r="E22" s="49">
        <f ca="1">IFERROR(__xludf.DUMMYFUNCTION("IMPORTRANGE(""https://docs.google.com/spreadsheets/d/13FRR1udp0c0o6Nmp_8YHiON78PXr-L4FqQQ028JcBYY/edit#gid=1522333227"",""Rekap KTR!$E$8"")"),2)</f>
        <v>2</v>
      </c>
      <c r="F22" s="49" t="str">
        <f ca="1">IFERROR(__xludf.DUMMYFUNCTION("IMPORTRANGE(""https://docs.google.com/spreadsheets/d/13FRR1udp0c0o6Nmp_8YHiON78PXr-L4FqQQ028JcBYY/edit#gid=1522333227"",""Rekap KTR!$E$9"")"),"")</f>
        <v/>
      </c>
      <c r="G22" s="49" t="str">
        <f ca="1">IFERROR(__xludf.DUMMYFUNCTION("IMPORTRANGE(""https://docs.google.com/spreadsheets/d/13FRR1udp0c0o6Nmp_8YHiON78PXr-L4FqQQ028JcBYY/edit#gid=1522333227"",""Rekap KTR!$E$10"")"),"")</f>
        <v/>
      </c>
      <c r="H22" s="49" t="str">
        <f ca="1">IFERROR(__xludf.DUMMYFUNCTION("IMPORTRANGE(""https://docs.google.com/spreadsheets/d/13FRR1udp0c0o6Nmp_8YHiON78PXr-L4FqQQ028JcBYY/edit#gid=1522333227"",""Rekap KTR!$E$11"")"),"")</f>
        <v/>
      </c>
      <c r="I22" s="49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15">
      <c r="B23" s="67" t="e">
        <f>#REF!</f>
        <v>#REF!</v>
      </c>
      <c r="C23" s="49">
        <f ca="1">IFERROR(__xludf.DUMMYFUNCTION("IMPORTRANGE(""https://docs.google.com/spreadsheets/d/1PVwe4VvYfj1Vj424c9kO9TcQogsBM6TpXMbFve9togc/edit#gid=1522333227"",""Rekap KTR!$E$6"")"),5)</f>
        <v>5</v>
      </c>
      <c r="D23" s="49">
        <f ca="1">IFERROR(__xludf.DUMMYFUNCTION("IMPORTRANGE(""https://docs.google.com/spreadsheets/d/1PVwe4VvYfj1Vj424c9kO9TcQogsBM6TpXMbFve9togc/edit#gid=1522333227"",""Rekap KTR!$E$7"")"),38)</f>
        <v>38</v>
      </c>
      <c r="E23" s="49">
        <f ca="1">IFERROR(__xludf.DUMMYFUNCTION("IMPORTRANGE(""https://docs.google.com/spreadsheets/d/1PVwe4VvYfj1Vj424c9kO9TcQogsBM6TpXMbFve9togc/edit#gid=1522333227"",""Rekap KTR!$E$8"")"),17)</f>
        <v>17</v>
      </c>
      <c r="F23" s="49">
        <f ca="1">IFERROR(__xludf.DUMMYFUNCTION("IMPORTRANGE(""https://docs.google.com/spreadsheets/d/1PVwe4VvYfj1Vj424c9kO9TcQogsBM6TpXMbFve9togc/edit#gid=1522333227"",""Rekap KTR!$E$9"")"),0)</f>
        <v>0</v>
      </c>
      <c r="G23" s="49">
        <f ca="1">IFERROR(__xludf.DUMMYFUNCTION("IMPORTRANGE(""https://docs.google.com/spreadsheets/d/1PVwe4VvYfj1Vj424c9kO9TcQogsBM6TpXMbFve9togc/edit#gid=1522333227"",""Rekap KTR!$E$10"")"),0)</f>
        <v>0</v>
      </c>
      <c r="H23" s="49">
        <f ca="1">IFERROR(__xludf.DUMMYFUNCTION("IMPORTRANGE(""https://docs.google.com/spreadsheets/d/1PVwe4VvYfj1Vj424c9kO9TcQogsBM6TpXMbFve9togc/edit#gid=1522333227"",""Rekap KTR!$E$11"")"),0)</f>
        <v>0</v>
      </c>
      <c r="I23" s="49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15">
      <c r="B24" s="67" t="e">
        <f>#REF!</f>
        <v>#REF!</v>
      </c>
      <c r="C24" s="49" t="str">
        <f ca="1">IFERROR(__xludf.DUMMYFUNCTION("IMPORTRANGE(""https://docs.google.com/spreadsheets/d/15JUTNcWxWGx3Ha8qvwbxgnbDbT4v7N3vZYvqPZ68_Xg/edit#gid=1892753874"",""Rekap KTR!$E$6"")"),"")</f>
        <v/>
      </c>
      <c r="D24" s="49">
        <f ca="1">IFERROR(__xludf.DUMMYFUNCTION("IMPORTRANGE(""https://docs.google.com/spreadsheets/d/15JUTNcWxWGx3Ha8qvwbxgnbDbT4v7N3vZYvqPZ68_Xg/edit#gid=1892753874"",""Rekap KTR!$E$7"")"),19)</f>
        <v>19</v>
      </c>
      <c r="E24" s="49" t="str">
        <f ca="1">IFERROR(__xludf.DUMMYFUNCTION("IMPORTRANGE(""https://docs.google.com/spreadsheets/d/15JUTNcWxWGx3Ha8qvwbxgnbDbT4v7N3vZYvqPZ68_Xg/edit#gid=1892753874"",""Rekap KTR!$E$8"")"),"")</f>
        <v/>
      </c>
      <c r="F24" s="49" t="str">
        <f ca="1">IFERROR(__xludf.DUMMYFUNCTION("IMPORTRANGE(""https://docs.google.com/spreadsheets/d/15JUTNcWxWGx3Ha8qvwbxgnbDbT4v7N3vZYvqPZ68_Xg/edit#gid=1892753874"",""Rekap KTR!$E$9"")"),"")</f>
        <v/>
      </c>
      <c r="G24" s="49" t="str">
        <f ca="1">IFERROR(__xludf.DUMMYFUNCTION("IMPORTRANGE(""https://docs.google.com/spreadsheets/d/15JUTNcWxWGx3Ha8qvwbxgnbDbT4v7N3vZYvqPZ68_Xg/edit#gid=1892753874"",""Rekap KTR!$E$10"")"),"")</f>
        <v/>
      </c>
      <c r="H24" s="49" t="str">
        <f ca="1">IFERROR(__xludf.DUMMYFUNCTION("IMPORTRANGE(""https://docs.google.com/spreadsheets/d/15JUTNcWxWGx3Ha8qvwbxgnbDbT4v7N3vZYvqPZ68_Xg/edit#gid=1892753874"",""Rekap KTR!$E$11"")"),"")</f>
        <v/>
      </c>
      <c r="I24" s="49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15"/>
    <row r="26" spans="2:9" ht="15.75" customHeight="1" x14ac:dyDescent="0.15"/>
    <row r="27" spans="2:9" ht="15.75" customHeight="1" x14ac:dyDescent="0.15"/>
    <row r="28" spans="2:9" ht="15.75" customHeight="1" x14ac:dyDescent="0.15"/>
    <row r="29" spans="2:9" ht="15.75" customHeight="1" x14ac:dyDescent="0.15"/>
    <row r="30" spans="2:9" ht="15.75" customHeight="1" x14ac:dyDescent="0.15"/>
    <row r="31" spans="2:9" ht="15.75" customHeight="1" x14ac:dyDescent="0.15"/>
    <row r="32" spans="2: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700-000000000000}"/>
    <hyperlink ref="A4" r:id="rId1" xr:uid="{00000000-0004-0000-1700-000001000000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16.73046875" customWidth="1"/>
    <col min="2" max="2" width="11.15234375" customWidth="1"/>
    <col min="3" max="3" width="11.796875" customWidth="1"/>
    <col min="4" max="5" width="11.15234375" customWidth="1"/>
    <col min="6" max="6" width="12.33203125" customWidth="1"/>
    <col min="8" max="8" width="13.94140625" customWidth="1"/>
    <col min="9" max="9" width="13.6171875" customWidth="1"/>
  </cols>
  <sheetData>
    <row r="1" spans="1:16" ht="21" x14ac:dyDescent="0.15">
      <c r="A1" s="94" t="s">
        <v>54</v>
      </c>
      <c r="B1" s="119"/>
      <c r="C1" s="95"/>
      <c r="D1" s="121" t="s">
        <v>57</v>
      </c>
      <c r="E1" s="119"/>
      <c r="F1" s="119"/>
      <c r="G1" s="119"/>
      <c r="H1" s="119"/>
      <c r="I1" s="119"/>
      <c r="J1" s="95"/>
      <c r="K1" s="60"/>
      <c r="L1" s="1"/>
      <c r="M1" s="1"/>
      <c r="N1" s="1"/>
      <c r="O1" s="1"/>
      <c r="P1" s="1"/>
    </row>
    <row r="2" spans="1:16" ht="21" x14ac:dyDescent="0.15">
      <c r="A2" s="96"/>
      <c r="B2" s="118"/>
      <c r="C2" s="97"/>
      <c r="D2" s="96"/>
      <c r="E2" s="118"/>
      <c r="F2" s="118"/>
      <c r="G2" s="118"/>
      <c r="H2" s="118"/>
      <c r="I2" s="118"/>
      <c r="J2" s="97"/>
      <c r="K2" s="60"/>
      <c r="L2" s="1"/>
      <c r="M2" s="1"/>
      <c r="N2" s="1"/>
      <c r="O2" s="1"/>
      <c r="P2" s="1"/>
    </row>
    <row r="3" spans="1:16" ht="21" x14ac:dyDescent="0.15">
      <c r="A3" s="98"/>
      <c r="B3" s="120"/>
      <c r="C3" s="99"/>
      <c r="D3" s="96"/>
      <c r="E3" s="118"/>
      <c r="F3" s="118"/>
      <c r="G3" s="118"/>
      <c r="H3" s="118"/>
      <c r="I3" s="118"/>
      <c r="J3" s="97"/>
      <c r="K3" s="60"/>
      <c r="L3" s="1"/>
      <c r="M3" s="1"/>
      <c r="N3" s="1"/>
      <c r="O3" s="1"/>
      <c r="P3" s="1"/>
    </row>
    <row r="4" spans="1:16" ht="24.75" customHeight="1" x14ac:dyDescent="0.15">
      <c r="A4" s="110" t="s">
        <v>55</v>
      </c>
      <c r="B4" s="122"/>
      <c r="C4" s="111"/>
      <c r="D4" s="98"/>
      <c r="E4" s="120"/>
      <c r="F4" s="120"/>
      <c r="G4" s="120"/>
      <c r="H4" s="120"/>
      <c r="I4" s="120"/>
      <c r="J4" s="99"/>
      <c r="K4" s="60"/>
      <c r="L4" s="1"/>
      <c r="M4" s="1"/>
      <c r="N4" s="1"/>
      <c r="O4" s="1"/>
      <c r="P4" s="1"/>
    </row>
    <row r="6" spans="1:16" ht="22.5" customHeight="1" x14ac:dyDescent="0.15">
      <c r="A6" s="123" t="s">
        <v>58</v>
      </c>
      <c r="B6" s="108"/>
      <c r="C6" s="108"/>
      <c r="D6" s="108"/>
      <c r="E6" s="108"/>
      <c r="F6" s="108"/>
      <c r="G6" s="108"/>
      <c r="H6" s="108"/>
      <c r="I6" s="108"/>
      <c r="J6" s="115"/>
      <c r="K6" s="2"/>
      <c r="L6" s="2"/>
      <c r="M6" s="2"/>
      <c r="N6" s="2"/>
      <c r="O6" s="2"/>
      <c r="P6" s="2"/>
    </row>
    <row r="7" spans="1:16" ht="14.25" x14ac:dyDescent="0.15">
      <c r="A7" s="124" t="s">
        <v>56</v>
      </c>
      <c r="B7" s="124" t="s">
        <v>59</v>
      </c>
      <c r="C7" s="124" t="s">
        <v>60</v>
      </c>
      <c r="D7" s="124" t="s">
        <v>61</v>
      </c>
      <c r="E7" s="125" t="s">
        <v>62</v>
      </c>
      <c r="F7" s="125" t="s">
        <v>63</v>
      </c>
      <c r="G7" s="125" t="s">
        <v>64</v>
      </c>
      <c r="H7" s="116" t="s">
        <v>65</v>
      </c>
      <c r="I7" s="116" t="s">
        <v>66</v>
      </c>
      <c r="J7" s="116" t="s">
        <v>67</v>
      </c>
    </row>
    <row r="8" spans="1:16" ht="15" customHeight="1" x14ac:dyDescent="0.15">
      <c r="A8" s="113"/>
      <c r="B8" s="113"/>
      <c r="C8" s="113"/>
      <c r="D8" s="113"/>
      <c r="E8" s="113"/>
      <c r="F8" s="113"/>
      <c r="G8" s="113"/>
      <c r="H8" s="113"/>
      <c r="I8" s="113"/>
      <c r="J8" s="113"/>
    </row>
    <row r="9" spans="1:16" ht="14.25" x14ac:dyDescent="0.15">
      <c r="A9" s="75"/>
      <c r="B9" s="75"/>
      <c r="C9" s="75"/>
      <c r="D9" s="75"/>
      <c r="E9" s="75"/>
      <c r="F9" s="75"/>
      <c r="G9" s="75"/>
      <c r="H9" s="75"/>
      <c r="I9" s="75"/>
      <c r="J9" s="75"/>
    </row>
    <row r="10" spans="1:16" x14ac:dyDescent="0.2">
      <c r="A10" s="67" t="e">
        <f>#REF!</f>
        <v>#REF!</v>
      </c>
      <c r="B10" s="49">
        <f ca="1">IFERROR(__xludf.DUMMYFUNCTION("IMPORTRANGE(""https://docs.google.com/spreadsheets/d/1P0UTisakTE5EAx-MYEjY2DmhSnLNqqRm6P3NrlYXL2I/edit#gid=1892753874"",""Rekap UBM!$B$9"")"),1)</f>
        <v>1</v>
      </c>
      <c r="C10" s="49">
        <f ca="1">IFERROR(__xludf.DUMMYFUNCTION("IMPORTRANGE(""https://docs.google.com/spreadsheets/d/1P0UTisakTE5EAx-MYEjY2DmhSnLNqqRm6P3NrlYXL2I/edit#gid=1892753874"",""Rekap UBM!$C$9"")"),1)</f>
        <v>1</v>
      </c>
      <c r="D10" s="68">
        <f t="shared" ref="D10:D25" ca="1" si="0">C10/B10*100</f>
        <v>100</v>
      </c>
      <c r="E10" s="49" t="str">
        <f ca="1">IFERROR(__xludf.DUMMYFUNCTION("IMPORTRANGE(""https://docs.google.com/spreadsheets/d/1P0UTisakTE5EAx-MYEjY2DmhSnLNqqRm6P3NrlYXL2I/edit#gid=1892753874"",""Rekap UBM!$E$9"")"),"")</f>
        <v/>
      </c>
      <c r="F10" s="49" t="str">
        <f ca="1">IFERROR(__xludf.DUMMYFUNCTION("IMPORTRANGE(""https://docs.google.com/spreadsheets/d/1P0UTisakTE5EAx-MYEjY2DmhSnLNqqRm6P3NrlYXL2I/edit#gid=1892753874"",""Rekap UBM!$F$9"")"),"")</f>
        <v/>
      </c>
      <c r="G10" s="68" t="e">
        <f t="shared" ref="G10:G25" ca="1" si="1">F10/E10*100</f>
        <v>#VALUE!</v>
      </c>
      <c r="H10" s="49" t="str">
        <f ca="1">IFERROR(__xludf.DUMMYFUNCTION("IMPORTRANGE(""https://docs.google.com/spreadsheets/d/1P0UTisakTE5EAx-MYEjY2DmhSnLNqqRm6P3NrlYXL2I/edit#gid=1892753874"",""Rekap UBM!$H$9"")"),"")</f>
        <v/>
      </c>
      <c r="I10" s="49" t="str">
        <f ca="1">IFERROR(__xludf.DUMMYFUNCTION("IMPORTRANGE(""https://docs.google.com/spreadsheets/d/1P0UTisakTE5EAx-MYEjY2DmhSnLNqqRm6P3NrlYXL2I/edit#gid=1892753874"",""Rekap UBM!$I$9"")"),"")</f>
        <v/>
      </c>
      <c r="J10" s="68" t="e">
        <f t="shared" ref="J10:J25" ca="1" si="2">I10/H10*100</f>
        <v>#VALUE!</v>
      </c>
    </row>
    <row r="11" spans="1:16" x14ac:dyDescent="0.2">
      <c r="A11" s="67" t="e">
        <f>#REF!</f>
        <v>#REF!</v>
      </c>
      <c r="B11" s="49">
        <f ca="1">IFERROR(__xludf.DUMMYFUNCTION("IMPORTRANGE(""https://docs.google.com/spreadsheets/d/1jB-UnyPBzGq1HOZkIVtft_Wo28OEKcZNsVgS5r_boTE/edit#gid=1522333227"",""Rekap UBM!$B$9"")"),1)</f>
        <v>1</v>
      </c>
      <c r="C11" s="49">
        <f ca="1">IFERROR(__xludf.DUMMYFUNCTION("IMPORTRANGE(""https://docs.google.com/spreadsheets/d/1jB-UnyPBzGq1HOZkIVtft_Wo28OEKcZNsVgS5r_boTE/edit#gid=1522333227"",""Rekap UBM!$C$9"")"),1)</f>
        <v>1</v>
      </c>
      <c r="D11" s="68">
        <f t="shared" ca="1" si="0"/>
        <v>100</v>
      </c>
      <c r="E11" s="49">
        <f ca="1">IFERROR(__xludf.DUMMYFUNCTION("IMPORTRANGE(""https://docs.google.com/spreadsheets/d/1jB-UnyPBzGq1HOZkIVtft_Wo28OEKcZNsVgS5r_boTE/edit#gid=1522333227"",""Rekap UBM!$E$9"")"),12)</f>
        <v>12</v>
      </c>
      <c r="F11" s="69">
        <f ca="1">IFERROR(__xludf.DUMMYFUNCTION("IMPORTRANGE(""https://docs.google.com/spreadsheets/d/1jB-UnyPBzGq1HOZkIVtft_Wo28OEKcZNsVgS5r_boTE/edit#gid=1522333227"",""Rekap UBM!$F$9"")"),12)</f>
        <v>12</v>
      </c>
      <c r="G11" s="68">
        <f t="shared" ca="1" si="1"/>
        <v>100</v>
      </c>
      <c r="H11" s="69" t="str">
        <f ca="1">IFERROR(__xludf.DUMMYFUNCTION("IMPORTRANGE(""https://docs.google.com/spreadsheets/d/1jB-UnyPBzGq1HOZkIVtft_Wo28OEKcZNsVgS5r_boTE/edit#gid=1522333227"",""Rekap UBM!$H$9"")"),"")</f>
        <v/>
      </c>
      <c r="I11" s="69" t="str">
        <f ca="1">IFERROR(__xludf.DUMMYFUNCTION("IMPORTRANGE(""https://docs.google.com/spreadsheets/d/1jB-UnyPBzGq1HOZkIVtft_Wo28OEKcZNsVgS5r_boTE/edit#gid=1522333227"",""Rekap UBM!$I$9"")"),"")</f>
        <v/>
      </c>
      <c r="J11" s="68" t="e">
        <f t="shared" ca="1" si="2"/>
        <v>#VALUE!</v>
      </c>
    </row>
    <row r="12" spans="1:16" x14ac:dyDescent="0.2">
      <c r="A12" s="67" t="e">
        <f>#REF!</f>
        <v>#REF!</v>
      </c>
      <c r="B12" s="49">
        <f ca="1">IFERROR(__xludf.DUMMYFUNCTION("IMPORTRANGE(""https://docs.google.com/spreadsheets/d/1gHFrRpJ5fnyxfJI-jxT5z1B1L7rSV8E5sIZEN90Rfhc/edit#gid=1522333227"",""Rekap UBM!$B$9"")"),1)</f>
        <v>1</v>
      </c>
      <c r="C12" s="49">
        <f ca="1">IFERROR(__xludf.DUMMYFUNCTION("IMPORTRANGE(""https://docs.google.com/spreadsheets/d/1gHFrRpJ5fnyxfJI-jxT5z1B1L7rSV8E5sIZEN90Rfhc/edit#gid=1522333227"",""Rekap UBM!$C$9"")"),1)</f>
        <v>1</v>
      </c>
      <c r="D12" s="68">
        <f t="shared" ca="1" si="0"/>
        <v>100</v>
      </c>
      <c r="E12" s="49">
        <f ca="1">IFERROR(__xludf.DUMMYFUNCTION("IMPORTRANGE(""https://docs.google.com/spreadsheets/d/1gHFrRpJ5fnyxfJI-jxT5z1B1L7rSV8E5sIZEN90Rfhc/edit#gid=1522333227"",""Rekap UBM!$E$9"")"),3)</f>
        <v>3</v>
      </c>
      <c r="F12" s="69">
        <f ca="1">IFERROR(__xludf.DUMMYFUNCTION("IMPORTRANGE(""https://docs.google.com/spreadsheets/d/1gHFrRpJ5fnyxfJI-jxT5z1B1L7rSV8E5sIZEN90Rfhc/edit#gid=1522333227"",""Rekap UBM!$F$9"")"),3)</f>
        <v>3</v>
      </c>
      <c r="G12" s="68">
        <f t="shared" ca="1" si="1"/>
        <v>100</v>
      </c>
      <c r="H12" s="69">
        <f ca="1">IFERROR(__xludf.DUMMYFUNCTION("IMPORTRANGE(""https://docs.google.com/spreadsheets/d/1gHFrRpJ5fnyxfJI-jxT5z1B1L7rSV8E5sIZEN90Rfhc/edit#gid=1522333227"",""Rekap UBM!$H$9"")"),6)</f>
        <v>6</v>
      </c>
      <c r="I12" s="69">
        <f ca="1">IFERROR(__xludf.DUMMYFUNCTION("IMPORTRANGE(""https://docs.google.com/spreadsheets/d/1gHFrRpJ5fnyxfJI-jxT5z1B1L7rSV8E5sIZEN90Rfhc/edit#gid=1522333227"",""Rekap UBM!$I$9"")"),6)</f>
        <v>6</v>
      </c>
      <c r="J12" s="68">
        <f t="shared" ca="1" si="2"/>
        <v>100</v>
      </c>
    </row>
    <row r="13" spans="1:16" x14ac:dyDescent="0.2">
      <c r="A13" s="67" t="e">
        <f>#REF!</f>
        <v>#REF!</v>
      </c>
      <c r="B13" s="49">
        <f ca="1">IFERROR(__xludf.DUMMYFUNCTION("IMPORTRANGE(""https://docs.google.com/spreadsheets/d/1saC2UP2JuYJ7WRPxjh8EMf_BSfGZ18Ous8sVKGLr-Ng/edit#gid=1892753874"",""Rekap UBM!$B$9"")"),1)</f>
        <v>1</v>
      </c>
      <c r="C13" s="49">
        <f ca="1">IFERROR(__xludf.DUMMYFUNCTION("IMPORTRANGE(""https://docs.google.com/spreadsheets/d/1saC2UP2JuYJ7WRPxjh8EMf_BSfGZ18Ous8sVKGLr-Ng/edit#gid=1892753874"",""Rekap UBM!$C$9"")"),1)</f>
        <v>1</v>
      </c>
      <c r="D13" s="68">
        <f t="shared" ca="1" si="0"/>
        <v>100</v>
      </c>
      <c r="E13" s="49">
        <f ca="1">IFERROR(__xludf.DUMMYFUNCTION("IMPORTRANGE(""https://docs.google.com/spreadsheets/d/1saC2UP2JuYJ7WRPxjh8EMf_BSfGZ18Ous8sVKGLr-Ng/edit#gid=1892753874"",""Rekap UBM!$E$9"")"),3)</f>
        <v>3</v>
      </c>
      <c r="F13" s="69">
        <f ca="1">IFERROR(__xludf.DUMMYFUNCTION("IMPORTRANGE(""https://docs.google.com/spreadsheets/d/1saC2UP2JuYJ7WRPxjh8EMf_BSfGZ18Ous8sVKGLr-Ng/edit#gid=1892753874"",""Rekap UBM!$F$9"")"),0)</f>
        <v>0</v>
      </c>
      <c r="G13" s="68">
        <f t="shared" ca="1" si="1"/>
        <v>0</v>
      </c>
      <c r="H13" s="69">
        <f ca="1">IFERROR(__xludf.DUMMYFUNCTION("IMPORTRANGE(""https://docs.google.com/spreadsheets/d/1saC2UP2JuYJ7WRPxjh8EMf_BSfGZ18Ous8sVKGLr-Ng/edit#gid=1892753874"",""Rekap UBM!$H$9"")"),5)</f>
        <v>5</v>
      </c>
      <c r="I13" s="69">
        <f ca="1">IFERROR(__xludf.DUMMYFUNCTION("IMPORTRANGE(""https://docs.google.com/spreadsheets/d/1saC2UP2JuYJ7WRPxjh8EMf_BSfGZ18Ous8sVKGLr-Ng/edit#gid=1892753874"",""Rekap UBM!$I$9"")"),0)</f>
        <v>0</v>
      </c>
      <c r="J13" s="68">
        <f t="shared" ca="1" si="2"/>
        <v>0</v>
      </c>
    </row>
    <row r="14" spans="1:16" x14ac:dyDescent="0.2">
      <c r="A14" s="67" t="e">
        <f>#REF!</f>
        <v>#REF!</v>
      </c>
      <c r="B14" s="49">
        <f ca="1">IFERROR(__xludf.DUMMYFUNCTION("IMPORTRANGE(""https://docs.google.com/spreadsheets/d/1ApPPV7RPuDI1EDOKjkoDXkV5Yd_NofeQTYTtAHUYGGw/edit#gid=1522333227"",""Rekap UBM!$B$9"")"),1)</f>
        <v>1</v>
      </c>
      <c r="C14" s="49">
        <f ca="1">IFERROR(__xludf.DUMMYFUNCTION("IMPORTRANGE(""https://docs.google.com/spreadsheets/d/1ApPPV7RPuDI1EDOKjkoDXkV5Yd_NofeQTYTtAHUYGGw/edit#gid=1522333227"",""Rekap UBM!$C$9"")"),1)</f>
        <v>1</v>
      </c>
      <c r="D14" s="68">
        <f t="shared" ca="1" si="0"/>
        <v>100</v>
      </c>
      <c r="E14" s="49" t="str">
        <f ca="1">IFERROR(__xludf.DUMMYFUNCTION("IMPORTRANGE(""https://docs.google.com/spreadsheets/d/1ApPPV7RPuDI1EDOKjkoDXkV5Yd_NofeQTYTtAHUYGGw/edit#gid=1522333227"",""Rekap UBM!$E$9"")"),"")</f>
        <v/>
      </c>
      <c r="F14" s="69" t="str">
        <f ca="1">IFERROR(__xludf.DUMMYFUNCTION("IMPORTRANGE(""https://docs.google.com/spreadsheets/d/1ApPPV7RPuDI1EDOKjkoDXkV5Yd_NofeQTYTtAHUYGGw/edit#gid=1522333227"",""Rekap UBM!$F$9"")"),"")</f>
        <v/>
      </c>
      <c r="G14" s="68" t="e">
        <f t="shared" ca="1" si="1"/>
        <v>#VALUE!</v>
      </c>
      <c r="H14" s="69" t="str">
        <f ca="1">IFERROR(__xludf.DUMMYFUNCTION("IMPORTRANGE(""https://docs.google.com/spreadsheets/d/1ApPPV7RPuDI1EDOKjkoDXkV5Yd_NofeQTYTtAHUYGGw/edit#gid=1522333227"",""Rekap UBM!$H$9"")"),"")</f>
        <v/>
      </c>
      <c r="I14" s="69" t="str">
        <f ca="1">IFERROR(__xludf.DUMMYFUNCTION("IMPORTRANGE(""https://docs.google.com/spreadsheets/d/1ApPPV7RPuDI1EDOKjkoDXkV5Yd_NofeQTYTtAHUYGGw/edit#gid=1522333227"",""Rekap UBM!$I$9"")"),"")</f>
        <v/>
      </c>
      <c r="J14" s="68" t="e">
        <f t="shared" ca="1" si="2"/>
        <v>#VALUE!</v>
      </c>
    </row>
    <row r="15" spans="1:16" x14ac:dyDescent="0.2">
      <c r="A15" s="67" t="e">
        <f>#REF!</f>
        <v>#REF!</v>
      </c>
      <c r="B15" s="49">
        <f ca="1">IFERROR(__xludf.DUMMYFUNCTION("IMPORTRANGE(""https://docs.google.com/spreadsheets/d/1iV_nqIfkAdyO_vl_QARxWbfnGcK2KlCCS94aVJ2QbTI/edit#gid=1522333227"",""Rekap UBM!$B$9"")"),1)</f>
        <v>1</v>
      </c>
      <c r="C15" s="49">
        <f ca="1">IFERROR(__xludf.DUMMYFUNCTION("IMPORTRANGE(""https://docs.google.com/spreadsheets/d/1iV_nqIfkAdyO_vl_QARxWbfnGcK2KlCCS94aVJ2QbTI/edit#gid=1522333227"",""Rekap UBM!$C$9"")"),1)</f>
        <v>1</v>
      </c>
      <c r="D15" s="68">
        <f t="shared" ca="1" si="0"/>
        <v>100</v>
      </c>
      <c r="E15" s="49" t="str">
        <f ca="1">IFERROR(__xludf.DUMMYFUNCTION("IMPORTRANGE(""https://docs.google.com/spreadsheets/d/1iV_nqIfkAdyO_vl_QARxWbfnGcK2KlCCS94aVJ2QbTI/edit#gid=1522333227"",""Rekap UBM!$E$9"")"),"")</f>
        <v/>
      </c>
      <c r="F15" s="69" t="str">
        <f ca="1">IFERROR(__xludf.DUMMYFUNCTION("IMPORTRANGE(""https://docs.google.com/spreadsheets/d/1iV_nqIfkAdyO_vl_QARxWbfnGcK2KlCCS94aVJ2QbTI/edit#gid=1522333227"",""Rekap UBM!$F$9"")"),"")</f>
        <v/>
      </c>
      <c r="G15" s="68" t="e">
        <f t="shared" ca="1" si="1"/>
        <v>#VALUE!</v>
      </c>
      <c r="H15" s="69" t="str">
        <f ca="1">IFERROR(__xludf.DUMMYFUNCTION("IMPORTRANGE(""https://docs.google.com/spreadsheets/d/1iV_nqIfkAdyO_vl_QARxWbfnGcK2KlCCS94aVJ2QbTI/edit#gid=1522333227"",""Rekap UBM!$H$9"")"),"")</f>
        <v/>
      </c>
      <c r="I15" s="69" t="str">
        <f ca="1">IFERROR(__xludf.DUMMYFUNCTION("IMPORTRANGE(""https://docs.google.com/spreadsheets/d/1iV_nqIfkAdyO_vl_QARxWbfnGcK2KlCCS94aVJ2QbTI/edit#gid=1522333227"",""Rekap UBM!$I$9"")"),"")</f>
        <v/>
      </c>
      <c r="J15" s="68" t="e">
        <f t="shared" ca="1" si="2"/>
        <v>#VALUE!</v>
      </c>
    </row>
    <row r="16" spans="1:16" x14ac:dyDescent="0.2">
      <c r="A16" s="67" t="e">
        <f>#REF!</f>
        <v>#REF!</v>
      </c>
      <c r="B16" s="49">
        <f ca="1">IFERROR(__xludf.DUMMYFUNCTION("IMPORTRANGE(""https://docs.google.com/spreadsheets/d/1zz70Lj6oBg1MOPSG6KJcsMeqBNtXMHYICRkg7kpt_d0/edit#gid=1892753874"",""Rekap UBM!$B$9"")"),1)</f>
        <v>1</v>
      </c>
      <c r="C16" s="49">
        <f ca="1">IFERROR(__xludf.DUMMYFUNCTION("IMPORTRANGE(""https://docs.google.com/spreadsheets/d/1zz70Lj6oBg1MOPSG6KJcsMeqBNtXMHYICRkg7kpt_d0/edit#gid=1892753874"",""Rekap UBM!$C$9"")"),1)</f>
        <v>1</v>
      </c>
      <c r="D16" s="68">
        <f t="shared" ca="1" si="0"/>
        <v>100</v>
      </c>
      <c r="E16" s="49">
        <f ca="1">IFERROR(__xludf.DUMMYFUNCTION("IMPORTRANGE(""https://docs.google.com/spreadsheets/d/1zz70Lj6oBg1MOPSG6KJcsMeqBNtXMHYICRkg7kpt_d0/edit#gid=1892753874"",""Rekap UBM!$E$9"")"),3)</f>
        <v>3</v>
      </c>
      <c r="F16" s="69">
        <f ca="1">IFERROR(__xludf.DUMMYFUNCTION("IMPORTRANGE(""https://docs.google.com/spreadsheets/d/1zz70Lj6oBg1MOPSG6KJcsMeqBNtXMHYICRkg7kpt_d0/edit#gid=1892753874"",""Rekap UBM!$F$9"")"),3)</f>
        <v>3</v>
      </c>
      <c r="G16" s="68">
        <f t="shared" ca="1" si="1"/>
        <v>100</v>
      </c>
      <c r="H16" s="69">
        <f ca="1">IFERROR(__xludf.DUMMYFUNCTION("IMPORTRANGE(""https://docs.google.com/spreadsheets/d/1zz70Lj6oBg1MOPSG6KJcsMeqBNtXMHYICRkg7kpt_d0/edit#gid=1892753874"",""Rekap UBM!$H$9"")"),3)</f>
        <v>3</v>
      </c>
      <c r="I16" s="69">
        <f ca="1">IFERROR(__xludf.DUMMYFUNCTION("IMPORTRANGE(""https://docs.google.com/spreadsheets/d/1zz70Lj6oBg1MOPSG6KJcsMeqBNtXMHYICRkg7kpt_d0/edit#gid=1892753874"",""Rekap UBM!$I$9"")"),3)</f>
        <v>3</v>
      </c>
      <c r="J16" s="68">
        <f t="shared" ca="1" si="2"/>
        <v>100</v>
      </c>
    </row>
    <row r="17" spans="1:10" x14ac:dyDescent="0.2">
      <c r="A17" s="67" t="e">
        <f>#REF!</f>
        <v>#REF!</v>
      </c>
      <c r="B17" s="49">
        <f ca="1">IFERROR(__xludf.DUMMYFUNCTION("IMPORTRANGE(""https://docs.google.com/spreadsheets/d/1773f1iHRnXhbrVjAHR7zUpu3neZdvtp1a2ikB9LJu8U/edit#gid=1522333227"",""Rekap UBM!$B$9"")"),1)</f>
        <v>1</v>
      </c>
      <c r="C17" s="49">
        <f ca="1">IFERROR(__xludf.DUMMYFUNCTION("IMPORTRANGE(""https://docs.google.com/spreadsheets/d/1773f1iHRnXhbrVjAHR7zUpu3neZdvtp1a2ikB9LJu8U/edit#gid=1522333227"",""Rekap UBM!$C$9"")"),1)</f>
        <v>1</v>
      </c>
      <c r="D17" s="68">
        <f t="shared" ca="1" si="0"/>
        <v>100</v>
      </c>
      <c r="E17" s="49">
        <f ca="1">IFERROR(__xludf.DUMMYFUNCTION("IMPORTRANGE(""https://docs.google.com/spreadsheets/d/1773f1iHRnXhbrVjAHR7zUpu3neZdvtp1a2ikB9LJu8U/edit#gid=1522333227"",""Rekap UBM!$E$9"")"),13)</f>
        <v>13</v>
      </c>
      <c r="F17" s="69">
        <f ca="1">IFERROR(__xludf.DUMMYFUNCTION("IMPORTRANGE(""https://docs.google.com/spreadsheets/d/1773f1iHRnXhbrVjAHR7zUpu3neZdvtp1a2ikB9LJu8U/edit#gid=1522333227"",""Rekap UBM!$F$9"")"),13)</f>
        <v>13</v>
      </c>
      <c r="G17" s="68">
        <f t="shared" ca="1" si="1"/>
        <v>100</v>
      </c>
      <c r="H17" s="69">
        <f ca="1">IFERROR(__xludf.DUMMYFUNCTION("IMPORTRANGE(""https://docs.google.com/spreadsheets/d/1773f1iHRnXhbrVjAHR7zUpu3neZdvtp1a2ikB9LJu8U/edit#gid=1522333227"",""Rekap UBM!$H$9"")"),1)</f>
        <v>1</v>
      </c>
      <c r="I17" s="69">
        <f ca="1">IFERROR(__xludf.DUMMYFUNCTION("IMPORTRANGE(""https://docs.google.com/spreadsheets/d/1773f1iHRnXhbrVjAHR7zUpu3neZdvtp1a2ikB9LJu8U/edit#gid=1522333227"",""Rekap UBM!$I$9"")"),1)</f>
        <v>1</v>
      </c>
      <c r="J17" s="68">
        <f t="shared" ca="1" si="2"/>
        <v>100</v>
      </c>
    </row>
    <row r="18" spans="1:10" x14ac:dyDescent="0.2">
      <c r="A18" s="67" t="e">
        <f>#REF!</f>
        <v>#REF!</v>
      </c>
      <c r="B18" s="49">
        <f ca="1">IFERROR(__xludf.DUMMYFUNCTION("IMPORTRANGE(""https://docs.google.com/spreadsheets/d/10iNzN1LqaStEosZKEbqcoOm3IdodNsG31q_nR0Y6WGo/edit#gid=1522333227"",""Rekap UBM!$B$9"")"),1)</f>
        <v>1</v>
      </c>
      <c r="C18" s="49">
        <f ca="1">IFERROR(__xludf.DUMMYFUNCTION("IMPORTRANGE(""https://docs.google.com/spreadsheets/d/10iNzN1LqaStEosZKEbqcoOm3IdodNsG31q_nR0Y6WGo/edit#gid=1522333227"",""Rekap UBM!$C$9"")"),1)</f>
        <v>1</v>
      </c>
      <c r="D18" s="68">
        <f t="shared" ca="1" si="0"/>
        <v>100</v>
      </c>
      <c r="E18" s="49" t="str">
        <f ca="1">IFERROR(__xludf.DUMMYFUNCTION("IMPORTRANGE(""https://docs.google.com/spreadsheets/d/10iNzN1LqaStEosZKEbqcoOm3IdodNsG31q_nR0Y6WGo/edit#gid=1522333227"",""Rekap UBM!$E$9"")"),"")</f>
        <v/>
      </c>
      <c r="F18" s="69" t="str">
        <f ca="1">IFERROR(__xludf.DUMMYFUNCTION("IMPORTRANGE(""https://docs.google.com/spreadsheets/d/10iNzN1LqaStEosZKEbqcoOm3IdodNsG31q_nR0Y6WGo/edit#gid=1522333227"",""Rekap UBM!$F$9"")"),"")</f>
        <v/>
      </c>
      <c r="G18" s="68" t="e">
        <f t="shared" ca="1" si="1"/>
        <v>#VALUE!</v>
      </c>
      <c r="H18" s="69" t="str">
        <f ca="1">IFERROR(__xludf.DUMMYFUNCTION("IMPORTRANGE(""https://docs.google.com/spreadsheets/d/10iNzN1LqaStEosZKEbqcoOm3IdodNsG31q_nR0Y6WGo/edit#gid=1522333227"",""Rekap UBM!$H$9"")"),"")</f>
        <v/>
      </c>
      <c r="I18" s="69" t="str">
        <f ca="1">IFERROR(__xludf.DUMMYFUNCTION("IMPORTRANGE(""https://docs.google.com/spreadsheets/d/10iNzN1LqaStEosZKEbqcoOm3IdodNsG31q_nR0Y6WGo/edit#gid=1522333227"",""Rekap UBM!$I$9"")"),"")</f>
        <v/>
      </c>
      <c r="J18" s="68" t="e">
        <f t="shared" ca="1" si="2"/>
        <v>#VALUE!</v>
      </c>
    </row>
    <row r="19" spans="1:10" x14ac:dyDescent="0.2">
      <c r="A19" s="67" t="e">
        <f>#REF!</f>
        <v>#REF!</v>
      </c>
      <c r="B19" s="49">
        <f ca="1">IFERROR(__xludf.DUMMYFUNCTION("IMPORTRANGE(""https://docs.google.com/spreadsheets/d/17PsIU8VcCQeO2M4DM42K9vv32GkafaaF1LxQevQ8tAQ/edit#gid=1892753874"",""Rekap UBM!$B$9"")"),1)</f>
        <v>1</v>
      </c>
      <c r="C19" s="49">
        <f ca="1">IFERROR(__xludf.DUMMYFUNCTION("IMPORTRANGE(""https://docs.google.com/spreadsheets/d/17PsIU8VcCQeO2M4DM42K9vv32GkafaaF1LxQevQ8tAQ/edit#gid=1892753874"",""Rekap UBM!$C$9"")"),0)</f>
        <v>0</v>
      </c>
      <c r="D19" s="68">
        <f t="shared" ca="1" si="0"/>
        <v>0</v>
      </c>
      <c r="E19" s="49" t="str">
        <f ca="1">IFERROR(__xludf.DUMMYFUNCTION("IMPORTRANGE(""https://docs.google.com/spreadsheets/d/17PsIU8VcCQeO2M4DM42K9vv32GkafaaF1LxQevQ8tAQ/edit#gid=1892753874"",""Rekap UBM!$E$9"")"),"")</f>
        <v/>
      </c>
      <c r="F19" s="69" t="str">
        <f ca="1">IFERROR(__xludf.DUMMYFUNCTION("IMPORTRANGE(""https://docs.google.com/spreadsheets/d/17PsIU8VcCQeO2M4DM42K9vv32GkafaaF1LxQevQ8tAQ/edit#gid=1892753874"",""Rekap UBM!$F$9"")"),"")</f>
        <v/>
      </c>
      <c r="G19" s="68" t="e">
        <f t="shared" ca="1" si="1"/>
        <v>#VALUE!</v>
      </c>
      <c r="H19" s="69" t="str">
        <f ca="1">IFERROR(__xludf.DUMMYFUNCTION("IMPORTRANGE(""https://docs.google.com/spreadsheets/d/17PsIU8VcCQeO2M4DM42K9vv32GkafaaF1LxQevQ8tAQ/edit#gid=1892753874"",""Rekap UBM!$H$9"")"),"")</f>
        <v/>
      </c>
      <c r="I19" s="69" t="str">
        <f ca="1">IFERROR(__xludf.DUMMYFUNCTION("IMPORTRANGE(""https://docs.google.com/spreadsheets/d/17PsIU8VcCQeO2M4DM42K9vv32GkafaaF1LxQevQ8tAQ/edit#gid=1892753874"",""Rekap UBM!$I$9"")"),"")</f>
        <v/>
      </c>
      <c r="J19" s="68" t="e">
        <f t="shared" ca="1" si="2"/>
        <v>#VALUE!</v>
      </c>
    </row>
    <row r="20" spans="1:10" x14ac:dyDescent="0.2">
      <c r="A20" s="67" t="e">
        <f>#REF!</f>
        <v>#REF!</v>
      </c>
      <c r="B20" s="49">
        <f ca="1">IFERROR(__xludf.DUMMYFUNCTION("IMPORTRANGE(""https://docs.google.com/spreadsheets/d/1d0Y9C6M4-a1TT0nIK2Gc4IXnbVyxoBB3v7o1biNGAwY/edit#gid=1892753874"",""Rekap UBM!$B$9"")"),1)</f>
        <v>1</v>
      </c>
      <c r="C20" s="49">
        <f ca="1">IFERROR(__xludf.DUMMYFUNCTION("IMPORTRANGE(""https://docs.google.com/spreadsheets/d/1d0Y9C6M4-a1TT0nIK2Gc4IXnbVyxoBB3v7o1biNGAwY/edit#gid=1892753874"",""Rekap UBM!$C$9"")"),1)</f>
        <v>1</v>
      </c>
      <c r="D20" s="68">
        <f t="shared" ca="1" si="0"/>
        <v>100</v>
      </c>
      <c r="E20" s="49">
        <f ca="1">IFERROR(__xludf.DUMMYFUNCTION("IMPORTRANGE(""https://docs.google.com/spreadsheets/d/1d0Y9C6M4-a1TT0nIK2Gc4IXnbVyxoBB3v7o1biNGAwY/edit#gid=1892753874"",""Rekap UBM!$E$9"")"),6)</f>
        <v>6</v>
      </c>
      <c r="F20" s="69">
        <f ca="1">IFERROR(__xludf.DUMMYFUNCTION("IMPORTRANGE(""https://docs.google.com/spreadsheets/d/1d0Y9C6M4-a1TT0nIK2Gc4IXnbVyxoBB3v7o1biNGAwY/edit#gid=1892753874"",""Rekap UBM!$F$9"")"),0)</f>
        <v>0</v>
      </c>
      <c r="G20" s="68">
        <f t="shared" ca="1" si="1"/>
        <v>0</v>
      </c>
      <c r="H20" s="69" t="str">
        <f ca="1">IFERROR(__xludf.DUMMYFUNCTION("IMPORTRANGE(""https://docs.google.com/spreadsheets/d/1d0Y9C6M4-a1TT0nIK2Gc4IXnbVyxoBB3v7o1biNGAwY/edit#gid=1892753874"",""Rekap UBM!$H$9"")"),"")</f>
        <v/>
      </c>
      <c r="I20" s="69">
        <f ca="1">IFERROR(__xludf.DUMMYFUNCTION("IMPORTRANGE(""https://docs.google.com/spreadsheets/d/1d0Y9C6M4-a1TT0nIK2Gc4IXnbVyxoBB3v7o1biNGAwY/edit#gid=1892753874"",""Rekap UBM!$I$9"")"),0)</f>
        <v>0</v>
      </c>
      <c r="J20" s="68" t="e">
        <f t="shared" ca="1" si="2"/>
        <v>#VALUE!</v>
      </c>
    </row>
    <row r="21" spans="1:10" ht="15.75" customHeight="1" x14ac:dyDescent="0.2">
      <c r="A21" s="67" t="e">
        <f>#REF!</f>
        <v>#REF!</v>
      </c>
      <c r="B21" s="49">
        <f ca="1">IFERROR(__xludf.DUMMYFUNCTION("IMPORTRANGE(""https://docs.google.com/spreadsheets/d/1fXA1yQzUNddp7fjR2KF22o4rRJu9lP9Ja9Oi1mRbg_E/edit#gid=1892753874"",""Rekap UBM!$B$9"")"),1)</f>
        <v>1</v>
      </c>
      <c r="C21" s="49">
        <f ca="1">IFERROR(__xludf.DUMMYFUNCTION("IMPORTRANGE(""https://docs.google.com/spreadsheets/d/1fXA1yQzUNddp7fjR2KF22o4rRJu9lP9Ja9Oi1mRbg_E/edit#gid=1892753874"",""Rekap UBM!$C$9"")"),1)</f>
        <v>1</v>
      </c>
      <c r="D21" s="68">
        <f t="shared" ca="1" si="0"/>
        <v>100</v>
      </c>
      <c r="E21" s="49">
        <f ca="1">IFERROR(__xludf.DUMMYFUNCTION("IMPORTRANGE(""https://docs.google.com/spreadsheets/d/1fXA1yQzUNddp7fjR2KF22o4rRJu9lP9Ja9Oi1mRbg_E/edit#gid=1892753874"",""Rekap UBM!$E$9"")"),1)</f>
        <v>1</v>
      </c>
      <c r="F21" s="69">
        <f ca="1">IFERROR(__xludf.DUMMYFUNCTION("IMPORTRANGE(""https://docs.google.com/spreadsheets/d/1fXA1yQzUNddp7fjR2KF22o4rRJu9lP9Ja9Oi1mRbg_E/edit#gid=1892753874"",""Rekap UBM!$F$9"")"),1)</f>
        <v>1</v>
      </c>
      <c r="G21" s="68">
        <f t="shared" ca="1" si="1"/>
        <v>100</v>
      </c>
      <c r="H21" s="69" t="str">
        <f ca="1">IFERROR(__xludf.DUMMYFUNCTION("IMPORTRANGE(""https://docs.google.com/spreadsheets/d/1fXA1yQzUNddp7fjR2KF22o4rRJu9lP9Ja9Oi1mRbg_E/edit#gid=1892753874"",""Rekap UBM!$H$9"")"),"")</f>
        <v/>
      </c>
      <c r="I21" s="69" t="str">
        <f ca="1">IFERROR(__xludf.DUMMYFUNCTION("IMPORTRANGE(""https://docs.google.com/spreadsheets/d/1fXA1yQzUNddp7fjR2KF22o4rRJu9lP9Ja9Oi1mRbg_E/edit#gid=1892753874"",""Rekap UBM!$I$9"")"),"")</f>
        <v/>
      </c>
      <c r="J21" s="68" t="e">
        <f t="shared" ca="1" si="2"/>
        <v>#VALUE!</v>
      </c>
    </row>
    <row r="22" spans="1:10" ht="15.75" customHeight="1" x14ac:dyDescent="0.2">
      <c r="A22" s="67" t="e">
        <f>#REF!</f>
        <v>#REF!</v>
      </c>
      <c r="B22" s="49">
        <f ca="1">IFERROR(__xludf.DUMMYFUNCTION("IMPORTRANGE(""https://docs.google.com/spreadsheets/d/155aL1qCqCleHwMP0Y8LT5akEbK27R0RIka-lAkeoeEo/edit#gid=1892753874"",""Rekap UBM!$B$9"")"),1)</f>
        <v>1</v>
      </c>
      <c r="C22" s="49">
        <f ca="1">IFERROR(__xludf.DUMMYFUNCTION("IMPORTRANGE(""https://docs.google.com/spreadsheets/d/155aL1qCqCleHwMP0Y8LT5akEbK27R0RIka-lAkeoeEo/edit#gid=1892753874"",""Rekap UBM!$C$9"")"),1)</f>
        <v>1</v>
      </c>
      <c r="D22" s="68">
        <f t="shared" ca="1" si="0"/>
        <v>100</v>
      </c>
      <c r="E22" s="49">
        <f ca="1">IFERROR(__xludf.DUMMYFUNCTION("IMPORTRANGE(""https://docs.google.com/spreadsheets/d/155aL1qCqCleHwMP0Y8LT5akEbK27R0RIka-lAkeoeEo/edit#gid=1892753874"",""Rekap UBM!$E$9"")"),7)</f>
        <v>7</v>
      </c>
      <c r="F22" s="69">
        <f ca="1">IFERROR(__xludf.DUMMYFUNCTION("IMPORTRANGE(""https://docs.google.com/spreadsheets/d/155aL1qCqCleHwMP0Y8LT5akEbK27R0RIka-lAkeoeEo/edit#gid=1892753874"",""Rekap UBM!$F$9"")"),0)</f>
        <v>0</v>
      </c>
      <c r="G22" s="68">
        <f t="shared" ca="1" si="1"/>
        <v>0</v>
      </c>
      <c r="H22" s="69">
        <f ca="1">IFERROR(__xludf.DUMMYFUNCTION("IMPORTRANGE(""https://docs.google.com/spreadsheets/d/155aL1qCqCleHwMP0Y8LT5akEbK27R0RIka-lAkeoeEo/edit#gid=1892753874"",""Rekap UBM!$H$9"")"),2)</f>
        <v>2</v>
      </c>
      <c r="I22" s="69">
        <f ca="1">IFERROR(__xludf.DUMMYFUNCTION("IMPORTRANGE(""https://docs.google.com/spreadsheets/d/155aL1qCqCleHwMP0Y8LT5akEbK27R0RIka-lAkeoeEo/edit#gid=1892753874"",""Rekap UBM!$I$9"")"),0)</f>
        <v>0</v>
      </c>
      <c r="J22" s="68">
        <f t="shared" ca="1" si="2"/>
        <v>0</v>
      </c>
    </row>
    <row r="23" spans="1:10" ht="15.75" customHeight="1" x14ac:dyDescent="0.2">
      <c r="A23" s="67" t="e">
        <f>#REF!</f>
        <v>#REF!</v>
      </c>
      <c r="B23" s="49">
        <f ca="1">IFERROR(__xludf.DUMMYFUNCTION("IMPORTRANGE(""https://docs.google.com/spreadsheets/d/13FRR1udp0c0o6Nmp_8YHiON78PXr-L4FqQQ028JcBYY/edit#gid=1522333227"",""Rekap UBM!$B$9"")"),1)</f>
        <v>1</v>
      </c>
      <c r="C23" s="49">
        <f ca="1">IFERROR(__xludf.DUMMYFUNCTION("IMPORTRANGE(""https://docs.google.com/spreadsheets/d/13FRR1udp0c0o6Nmp_8YHiON78PXr-L4FqQQ028JcBYY/edit#gid=1522333227"",""Rekap UBM!$C$9"")"),1)</f>
        <v>1</v>
      </c>
      <c r="D23" s="68">
        <f t="shared" ca="1" si="0"/>
        <v>100</v>
      </c>
      <c r="E23" s="49">
        <f ca="1">IFERROR(__xludf.DUMMYFUNCTION("IMPORTRANGE(""https://docs.google.com/spreadsheets/d/13FRR1udp0c0o6Nmp_8YHiON78PXr-L4FqQQ028JcBYY/edit#gid=1522333227"",""Rekap UBM!$E$9"")"),0)</f>
        <v>0</v>
      </c>
      <c r="F23" s="69">
        <f ca="1">IFERROR(__xludf.DUMMYFUNCTION("IMPORTRANGE(""https://docs.google.com/spreadsheets/d/13FRR1udp0c0o6Nmp_8YHiON78PXr-L4FqQQ028JcBYY/edit#gid=1522333227"",""Rekap UBM!$F$9"")"),0)</f>
        <v>0</v>
      </c>
      <c r="G23" s="68" t="e">
        <f t="shared" ca="1" si="1"/>
        <v>#DIV/0!</v>
      </c>
      <c r="H23" s="69">
        <f ca="1">IFERROR(__xludf.DUMMYFUNCTION("IMPORTRANGE(""https://docs.google.com/spreadsheets/d/13FRR1udp0c0o6Nmp_8YHiON78PXr-L4FqQQ028JcBYY/edit#gid=1522333227"",""Rekap UBM!$H$9"")"),0)</f>
        <v>0</v>
      </c>
      <c r="I23" s="69">
        <f ca="1">IFERROR(__xludf.DUMMYFUNCTION("IMPORTRANGE(""https://docs.google.com/spreadsheets/d/13FRR1udp0c0o6Nmp_8YHiON78PXr-L4FqQQ028JcBYY/edit#gid=1522333227"",""Rekap UBM!$I$9"")"),0)</f>
        <v>0</v>
      </c>
      <c r="J23" s="68" t="e">
        <f t="shared" ca="1" si="2"/>
        <v>#DIV/0!</v>
      </c>
    </row>
    <row r="24" spans="1:10" ht="15.75" customHeight="1" x14ac:dyDescent="0.2">
      <c r="A24" s="67" t="e">
        <f>#REF!</f>
        <v>#REF!</v>
      </c>
      <c r="B24" s="49">
        <f ca="1">IFERROR(__xludf.DUMMYFUNCTION("IMPORTRANGE(""https://docs.google.com/spreadsheets/d/1PVwe4VvYfj1Vj424c9kO9TcQogsBM6TpXMbFve9togc/edit#gid=1522333227"",""Rekap UBM!$B$9"")"),1)</f>
        <v>1</v>
      </c>
      <c r="C24" s="49">
        <f ca="1">IFERROR(__xludf.DUMMYFUNCTION("IMPORTRANGE(""https://docs.google.com/spreadsheets/d/1PVwe4VvYfj1Vj424c9kO9TcQogsBM6TpXMbFve9togc/edit#gid=1522333227"",""Rekap UBM!$C$9"")"),1)</f>
        <v>1</v>
      </c>
      <c r="D24" s="68">
        <f t="shared" ca="1" si="0"/>
        <v>100</v>
      </c>
      <c r="E24" s="49">
        <f ca="1">IFERROR(__xludf.DUMMYFUNCTION("IMPORTRANGE(""https://docs.google.com/spreadsheets/d/1PVwe4VvYfj1Vj424c9kO9TcQogsBM6TpXMbFve9togc/edit#gid=1522333227"",""Rekap UBM!$E$9"")"),3)</f>
        <v>3</v>
      </c>
      <c r="F24" s="69">
        <f ca="1">IFERROR(__xludf.DUMMYFUNCTION("IMPORTRANGE(""https://docs.google.com/spreadsheets/d/1PVwe4VvYfj1Vj424c9kO9TcQogsBM6TpXMbFve9togc/edit#gid=1522333227"",""Rekap UBM!$F$9"")"),0)</f>
        <v>0</v>
      </c>
      <c r="G24" s="68">
        <f t="shared" ca="1" si="1"/>
        <v>0</v>
      </c>
      <c r="H24" s="69">
        <f ca="1">IFERROR(__xludf.DUMMYFUNCTION("IMPORTRANGE(""https://docs.google.com/spreadsheets/d/1PVwe4VvYfj1Vj424c9kO9TcQogsBM6TpXMbFve9togc/edit#gid=1522333227"",""Rekap UBM!$H$9"")"),0)</f>
        <v>0</v>
      </c>
      <c r="I24" s="69">
        <f ca="1">IFERROR(__xludf.DUMMYFUNCTION("IMPORTRANGE(""https://docs.google.com/spreadsheets/d/1PVwe4VvYfj1Vj424c9kO9TcQogsBM6TpXMbFve9togc/edit#gid=1522333227"",""Rekap UBM!$I$9"")"),0)</f>
        <v>0</v>
      </c>
      <c r="J24" s="68" t="e">
        <f t="shared" ca="1" si="2"/>
        <v>#DIV/0!</v>
      </c>
    </row>
    <row r="25" spans="1:10" ht="15.75" customHeight="1" x14ac:dyDescent="0.2">
      <c r="A25" s="67" t="e">
        <f>#REF!</f>
        <v>#REF!</v>
      </c>
      <c r="B25" s="49">
        <f ca="1">IFERROR(__xludf.DUMMYFUNCTION("IMPORTRANGE(""https://docs.google.com/spreadsheets/d/15JUTNcWxWGx3Ha8qvwbxgnbDbT4v7N3vZYvqPZ68_Xg/edit#gid=1892753874"",""Rekap UBM!$B$9"")"),1)</f>
        <v>1</v>
      </c>
      <c r="C25" s="49">
        <f ca="1">IFERROR(__xludf.DUMMYFUNCTION("IMPORTRANGE(""https://docs.google.com/spreadsheets/d/15JUTNcWxWGx3Ha8qvwbxgnbDbT4v7N3vZYvqPZ68_Xg/edit#gid=1892753874"",""Rekap UBM!$C$9"")"),1)</f>
        <v>1</v>
      </c>
      <c r="D25" s="68">
        <f t="shared" ca="1" si="0"/>
        <v>100</v>
      </c>
      <c r="E25" s="49" t="str">
        <f ca="1">IFERROR(__xludf.DUMMYFUNCTION("IMPORTRANGE(""https://docs.google.com/spreadsheets/d/15JUTNcWxWGx3Ha8qvwbxgnbDbT4v7N3vZYvqPZ68_Xg/edit#gid=1892753874"",""Rekap UBM!$E$9"")"),"")</f>
        <v/>
      </c>
      <c r="F25" s="69" t="str">
        <f ca="1">IFERROR(__xludf.DUMMYFUNCTION("IMPORTRANGE(""https://docs.google.com/spreadsheets/d/15JUTNcWxWGx3Ha8qvwbxgnbDbT4v7N3vZYvqPZ68_Xg/edit#gid=1892753874"",""Rekap UBM!$F$9"")"),"")</f>
        <v/>
      </c>
      <c r="G25" s="68" t="e">
        <f t="shared" ca="1" si="1"/>
        <v>#VALUE!</v>
      </c>
      <c r="H25" s="69" t="str">
        <f ca="1">IFERROR(__xludf.DUMMYFUNCTION("IMPORTRANGE(""https://docs.google.com/spreadsheets/d/15JUTNcWxWGx3Ha8qvwbxgnbDbT4v7N3vZYvqPZ68_Xg/edit#gid=1892753874"",""Rekap UBM!$H$9"")"),"")</f>
        <v/>
      </c>
      <c r="I25" s="69" t="str">
        <f ca="1">IFERROR(__xludf.DUMMYFUNCTION("IMPORTRANGE(""https://docs.google.com/spreadsheets/d/15JUTNcWxWGx3Ha8qvwbxgnbDbT4v7N3vZYvqPZ68_Xg/edit#gid=1892753874"",""Rekap UBM!$I$9"")"),"")</f>
        <v/>
      </c>
      <c r="J25" s="68" t="e">
        <f t="shared" ca="1" si="2"/>
        <v>#VALUE!</v>
      </c>
    </row>
    <row r="26" spans="1:10" ht="15.75" customHeight="1" x14ac:dyDescent="0.15"/>
    <row r="27" spans="1:10" ht="15.75" customHeight="1" x14ac:dyDescent="0.2">
      <c r="B27" s="70" t="s">
        <v>68</v>
      </c>
      <c r="C27" s="3"/>
      <c r="D27" s="117" t="s">
        <v>69</v>
      </c>
      <c r="E27" s="118"/>
      <c r="F27" s="118"/>
      <c r="G27" s="118"/>
      <c r="H27" s="118"/>
      <c r="I27" s="118"/>
    </row>
    <row r="28" spans="1:10" ht="15.75" customHeight="1" x14ac:dyDescent="0.2">
      <c r="B28" s="3"/>
      <c r="C28" s="3"/>
      <c r="D28" s="118"/>
      <c r="E28" s="118"/>
      <c r="F28" s="118"/>
      <c r="G28" s="118"/>
      <c r="H28" s="118"/>
      <c r="I28" s="118"/>
    </row>
    <row r="29" spans="1:10" ht="15.75" customHeight="1" x14ac:dyDescent="0.15"/>
    <row r="30" spans="1:10" ht="15.75" customHeight="1" x14ac:dyDescent="0.15"/>
    <row r="31" spans="1:10" ht="15.75" customHeight="1" x14ac:dyDescent="0.15"/>
    <row r="32" spans="1:1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Skr. PPOK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Solution</dc:creator>
  <cp:lastModifiedBy>Windows</cp:lastModifiedBy>
  <dcterms:created xsi:type="dcterms:W3CDTF">2025-01-21T08:14:58Z</dcterms:created>
  <dcterms:modified xsi:type="dcterms:W3CDTF">2025-01-07T07:50:21Z</dcterms:modified>
</cp:coreProperties>
</file>