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M-Uspro" sheetId="1" r:id="rId4"/>
    <sheet state="hidden" name="Per Puskesmas - Rekap KTR" sheetId="2" r:id="rId5"/>
    <sheet state="hidden" name="Per Puskesmas Rekap UBM" sheetId="3" r:id="rId6"/>
  </sheets>
  <definedNames/>
  <calcPr/>
  <extLst>
    <ext uri="GoogleSheetsCustomDataVersion2">
      <go:sheetsCustomData xmlns:go="http://customooxmlschemas.google.com/" r:id="rId7" roundtripDataChecksum="FR7/lCmysG3flrbZpiasbndaI14TKc0Gt3sKVGDGKWc="/>
    </ext>
  </extLst>
</workbook>
</file>

<file path=xl/sharedStrings.xml><?xml version="1.0" encoding="utf-8"?>
<sst xmlns="http://schemas.openxmlformats.org/spreadsheetml/2006/main" count="99" uniqueCount="57">
  <si>
    <t>LAPORAN CAPAIAN SPM USIA PRODUKTIF (15-59 TAHUN)</t>
  </si>
  <si>
    <t>PUSKESMAS MOJOLANGU</t>
  </si>
  <si>
    <t>TAHUN 2025</t>
  </si>
  <si>
    <t>NO</t>
  </si>
  <si>
    <t>BULAN</t>
  </si>
  <si>
    <t>CAPAIAN PUSKESMAS YANKES USIA PRODUKTIF 15 - 59 TAHUN</t>
  </si>
  <si>
    <t>SASARAN</t>
  </si>
  <si>
    <t>USIA 15 - 44 TAHUN</t>
  </si>
  <si>
    <t xml:space="preserve"> USIA 45 - 59 TAHUN</t>
  </si>
  <si>
    <t>TOTAL REALISASI CAPAIAN SPM PUSKESMAS</t>
  </si>
  <si>
    <t>TOTAL REALISASI BERESIKO (OBESITAS)</t>
  </si>
  <si>
    <t>L</t>
  </si>
  <si>
    <t>P</t>
  </si>
  <si>
    <t>TOTAL</t>
  </si>
  <si>
    <t>(%)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</si>
  <si>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</si>
  <si>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</si>
  <si>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</si>
  <si>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</si>
  <si>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</si>
  <si>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</si>
  <si>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</si>
  <si>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</si>
  <si>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</si>
  <si>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</si>
  <si>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</si>
  <si>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</si>
  <si>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</si>
  <si>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</si>
  <si>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</si>
  <si>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</si>
  <si>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 xml:space="preserve">              Kembali ke _x000a_              Pilihan Program</t>
  </si>
  <si>
    <t>CAPAIAN IKK TAHUN 2024</t>
  </si>
  <si>
    <t>Rekapitulasi Penerapan Kawasan Tanpa Rokok (KTR)</t>
  </si>
  <si>
    <t>download sheet ini</t>
  </si>
  <si>
    <t>PUSKESMAS</t>
  </si>
  <si>
    <t>(%) Kepatuhan KTR</t>
  </si>
  <si>
    <t>Fasilitas Pelayanan Kesehatan</t>
  </si>
  <si>
    <t>Tempat Prosses Belajar Mengajar</t>
  </si>
  <si>
    <t>Tempat Anak
Bermain</t>
  </si>
  <si>
    <t>Tempat Ibadah</t>
  </si>
  <si>
    <t>Transportasi
Umum</t>
  </si>
  <si>
    <t>Tempat Kerja</t>
  </si>
  <si>
    <t>Tempat Umum, Tempat yang
Ditetapkan</t>
  </si>
  <si>
    <t>REKAPITULASI PENYELENGGARAAN LAYANAN UBM
KOTA MALANG TAHUN 2024</t>
  </si>
  <si>
    <t>FKTP YANG MENYELENGGARAKAN LAYANAN UBM*</t>
  </si>
  <si>
    <t>JUMLAH PUSKESMAS</t>
  </si>
  <si>
    <t>JUMLAH PUSKESMAS UBM</t>
  </si>
  <si>
    <t>% PUSKESMAS UBM</t>
  </si>
  <si>
    <t>JUMLAH KLINIK PRATAMA</t>
  </si>
  <si>
    <t>JUMLAH KLINIK PRATAMA UBM</t>
  </si>
  <si>
    <t>% KLINIK PRATAMA UBM</t>
  </si>
  <si>
    <t>JUMLAH DOKTER PRAKTIK MANDIRI</t>
  </si>
  <si>
    <t>JUMLAH DOKTER PRAKTIK MANDIRI UBM</t>
  </si>
  <si>
    <t>% DOKTER PRAKTIK MANDIRI UBM</t>
  </si>
  <si>
    <t xml:space="preserve">* FKTP DENGAN LAYANAN UBM :
</t>
  </si>
  <si>
    <t>FKTP di wilayah puskesmas (puskesmas, dokter praktek mandiri, klinik pratama) yang menyelenggarakan layanan Upaya Berhenti Merokok (UBM) dengan tenaga terlatih.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</si>
</sst>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23">
    <font>
      <sz val="11.0"/>
      <color theme="1"/>
      <name val="Verdana"/>
      <scheme val="minor"/>
    </font>
    <font>
      <b/>
      <sz val="11.0"/>
      <color rgb="FF000000"/>
      <name val="Arial Narrow"/>
    </font>
    <font>
      <b/>
      <sz val="12.0"/>
      <color rgb="FF000000"/>
      <name val="Arial Narrow"/>
    </font>
    <font>
      <b/>
      <sz val="11.0"/>
      <color theme="1"/>
      <name val="Arial"/>
    </font>
    <font/>
    <font>
      <sz val="11.0"/>
      <color rgb="FF000000"/>
      <name val="Arial Narrow"/>
    </font>
    <font>
      <sz val="11.0"/>
      <color theme="1"/>
      <name val="Arial Narrow"/>
    </font>
    <font>
      <sz val="12.0"/>
      <color theme="1"/>
      <name val="Calibri"/>
    </font>
    <font>
      <sz val="12.0"/>
      <color rgb="FF000000"/>
      <name val="Arial Narrow"/>
    </font>
    <font>
      <sz val="11.0"/>
      <color rgb="FF000000"/>
      <name val="Inconsolata"/>
    </font>
    <font>
      <b/>
      <sz val="11.0"/>
      <color theme="1"/>
      <name val="Arial Narrow"/>
    </font>
    <font>
      <b/>
      <sz val="12.0"/>
      <color theme="1"/>
      <name val="Calibri"/>
    </font>
    <font>
      <b/>
      <sz val="11.0"/>
      <color rgb="FF000000"/>
      <name val="Inconsolata"/>
    </font>
    <font>
      <sz val="11.0"/>
      <color rgb="FF000000"/>
      <name val="Arial"/>
    </font>
    <font>
      <color theme="1"/>
      <name val="Verdana"/>
    </font>
    <font>
      <b/>
      <u/>
      <sz val="14.0"/>
      <color rgb="FF1155CC"/>
      <name val="Calibri"/>
    </font>
    <font>
      <b/>
      <sz val="16.0"/>
      <color theme="1"/>
      <name val="Calibri"/>
    </font>
    <font>
      <sz val="11.0"/>
      <color theme="1"/>
      <name val="Verdana"/>
    </font>
    <font>
      <b/>
      <u/>
      <sz val="14.0"/>
      <color rgb="FF0000FF"/>
      <name val="Calibri"/>
    </font>
    <font>
      <sz val="11.0"/>
      <color theme="1"/>
      <name val="Bookman Old Style"/>
    </font>
    <font>
      <sz val="11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CFE4F1"/>
        <bgColor rgb="FFCFE4F1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D8E4BC"/>
        <bgColor rgb="FFD8E4BC"/>
      </patternFill>
    </fill>
    <fill>
      <patternFill patternType="solid">
        <fgColor rgb="FFB6D7A8"/>
        <bgColor rgb="FFB6D7A8"/>
      </patternFill>
    </fill>
  </fills>
  <borders count="63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ck">
        <color rgb="FF000000"/>
      </right>
      <top/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thick">
        <color rgb="FF000000"/>
      </right>
      <top/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top/>
    </border>
    <border>
      <top/>
    </border>
    <border>
      <left/>
      <right/>
      <top/>
      <bottom/>
    </border>
    <border>
      <left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center" vertical="center"/>
    </xf>
    <xf borderId="0" fillId="2" fontId="2" numFmtId="0" xfId="0" applyAlignment="1" applyFill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2" fontId="2" numFmtId="0" xfId="0" applyAlignment="1" applyBorder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2" fontId="3" numFmtId="0" xfId="0" applyAlignment="1" applyBorder="1" applyFont="1">
      <alignment horizontal="center" vertical="center"/>
    </xf>
    <xf borderId="9" fillId="0" fontId="4" numFmtId="0" xfId="0" applyBorder="1" applyFont="1"/>
    <xf borderId="10" fillId="0" fontId="4" numFmtId="0" xfId="0" applyBorder="1" applyFont="1"/>
    <xf borderId="8" fillId="2" fontId="1" numFmtId="0" xfId="0" applyAlignment="1" applyBorder="1" applyFont="1">
      <alignment horizontal="center" vertical="center"/>
    </xf>
    <xf borderId="11" fillId="0" fontId="4" numFmtId="0" xfId="0" applyBorder="1" applyFont="1"/>
    <xf borderId="8" fillId="2" fontId="1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2" fontId="1" numFmtId="0" xfId="0" applyAlignment="1" applyBorder="1" applyFont="1">
      <alignment horizontal="center" vertical="center"/>
    </xf>
    <xf borderId="19" fillId="2" fontId="1" numFmtId="0" xfId="0" applyAlignment="1" applyBorder="1" applyFont="1">
      <alignment horizontal="center" vertical="center"/>
    </xf>
    <xf borderId="20" fillId="2" fontId="1" numFmtId="0" xfId="0" applyAlignment="1" applyBorder="1" applyFont="1">
      <alignment horizontal="center" vertical="center"/>
    </xf>
    <xf borderId="21" fillId="2" fontId="1" numFmtId="0" xfId="0" applyAlignment="1" applyBorder="1" applyFont="1">
      <alignment horizontal="center" vertical="center"/>
    </xf>
    <xf borderId="22" fillId="2" fontId="1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center"/>
    </xf>
    <xf borderId="24" fillId="0" fontId="6" numFmtId="0" xfId="0" applyAlignment="1" applyBorder="1" applyFont="1">
      <alignment horizontal="left"/>
    </xf>
    <xf borderId="25" fillId="3" fontId="7" numFmtId="3" xfId="0" applyAlignment="1" applyBorder="1" applyFill="1" applyFont="1" applyNumberFormat="1">
      <alignment horizontal="center"/>
    </xf>
    <xf borderId="26" fillId="0" fontId="8" numFmtId="3" xfId="0" applyAlignment="1" applyBorder="1" applyFont="1" applyNumberFormat="1">
      <alignment horizontal="center"/>
    </xf>
    <xf borderId="27" fillId="3" fontId="5" numFmtId="3" xfId="0" applyAlignment="1" applyBorder="1" applyFont="1" applyNumberFormat="1">
      <alignment horizontal="center"/>
    </xf>
    <xf borderId="27" fillId="3" fontId="9" numFmtId="3" xfId="0" applyAlignment="1" applyBorder="1" applyFont="1" applyNumberFormat="1">
      <alignment horizontal="center"/>
    </xf>
    <xf borderId="28" fillId="0" fontId="5" numFmtId="3" xfId="0" applyBorder="1" applyFont="1" applyNumberFormat="1"/>
    <xf borderId="28" fillId="0" fontId="5" numFmtId="3" xfId="0" applyAlignment="1" applyBorder="1" applyFont="1" applyNumberFormat="1">
      <alignment horizontal="right"/>
    </xf>
    <xf borderId="28" fillId="0" fontId="5" numFmtId="3" xfId="0" applyAlignment="1" applyBorder="1" applyFont="1" applyNumberFormat="1">
      <alignment horizontal="center"/>
    </xf>
    <xf borderId="29" fillId="0" fontId="5" numFmtId="164" xfId="0" applyAlignment="1" applyBorder="1" applyFont="1" applyNumberFormat="1">
      <alignment horizontal="center"/>
    </xf>
    <xf borderId="30" fillId="0" fontId="5" numFmtId="3" xfId="0" applyAlignment="1" applyBorder="1" applyFont="1" applyNumberFormat="1">
      <alignment horizontal="center"/>
    </xf>
    <xf borderId="31" fillId="0" fontId="5" numFmtId="3" xfId="0" applyAlignment="1" applyBorder="1" applyFont="1" applyNumberFormat="1">
      <alignment horizontal="center"/>
    </xf>
    <xf borderId="5" fillId="0" fontId="5" numFmtId="164" xfId="0" applyAlignment="1" applyBorder="1" applyFont="1" applyNumberFormat="1">
      <alignment horizontal="center"/>
    </xf>
    <xf borderId="0" fillId="0" fontId="5" numFmtId="10" xfId="0" applyAlignment="1" applyFont="1" applyNumberFormat="1">
      <alignment horizontal="center"/>
    </xf>
    <xf borderId="25" fillId="3" fontId="5" numFmtId="3" xfId="0" applyAlignment="1" applyBorder="1" applyFont="1" applyNumberFormat="1">
      <alignment horizontal="center"/>
    </xf>
    <xf borderId="25" fillId="3" fontId="9" numFmtId="3" xfId="0" applyAlignment="1" applyBorder="1" applyFont="1" applyNumberFormat="1">
      <alignment horizontal="center"/>
    </xf>
    <xf borderId="32" fillId="0" fontId="5" numFmtId="3" xfId="0" applyBorder="1" applyFont="1" applyNumberFormat="1"/>
    <xf borderId="32" fillId="0" fontId="5" numFmtId="3" xfId="0" applyAlignment="1" applyBorder="1" applyFont="1" applyNumberFormat="1">
      <alignment horizontal="right"/>
    </xf>
    <xf borderId="32" fillId="0" fontId="5" numFmtId="3" xfId="0" applyAlignment="1" applyBorder="1" applyFont="1" applyNumberFormat="1">
      <alignment horizontal="center"/>
    </xf>
    <xf borderId="14" fillId="0" fontId="5" numFmtId="164" xfId="0" applyAlignment="1" applyBorder="1" applyFont="1" applyNumberFormat="1">
      <alignment horizontal="center"/>
    </xf>
    <xf borderId="23" fillId="0" fontId="5" numFmtId="3" xfId="0" applyAlignment="1" applyBorder="1" applyFont="1" applyNumberFormat="1">
      <alignment horizontal="center"/>
    </xf>
    <xf borderId="26" fillId="0" fontId="5" numFmtId="164" xfId="0" applyAlignment="1" applyBorder="1" applyFont="1" applyNumberFormat="1">
      <alignment horizontal="center"/>
    </xf>
    <xf borderId="33" fillId="4" fontId="5" numFmtId="0" xfId="0" applyAlignment="1" applyBorder="1" applyFill="1" applyFont="1">
      <alignment horizontal="center"/>
    </xf>
    <xf borderId="34" fillId="4" fontId="10" numFmtId="0" xfId="0" applyAlignment="1" applyBorder="1" applyFont="1">
      <alignment horizontal="left"/>
    </xf>
    <xf borderId="25" fillId="5" fontId="11" numFmtId="3" xfId="0" applyAlignment="1" applyBorder="1" applyFill="1" applyFont="1" applyNumberFormat="1">
      <alignment horizontal="center"/>
    </xf>
    <xf borderId="26" fillId="5" fontId="2" numFmtId="3" xfId="0" applyAlignment="1" applyBorder="1" applyFont="1" applyNumberFormat="1">
      <alignment horizontal="center"/>
    </xf>
    <xf borderId="25" fillId="4" fontId="1" numFmtId="3" xfId="0" applyAlignment="1" applyBorder="1" applyFont="1" applyNumberFormat="1">
      <alignment horizontal="center"/>
    </xf>
    <xf borderId="25" fillId="4" fontId="12" numFmtId="3" xfId="0" applyAlignment="1" applyBorder="1" applyFont="1" applyNumberFormat="1">
      <alignment horizontal="center"/>
    </xf>
    <xf borderId="35" fillId="4" fontId="1" numFmtId="3" xfId="0" applyBorder="1" applyFont="1" applyNumberFormat="1"/>
    <xf borderId="35" fillId="4" fontId="1" numFmtId="3" xfId="0" applyAlignment="1" applyBorder="1" applyFont="1" applyNumberFormat="1">
      <alignment horizontal="right"/>
    </xf>
    <xf borderId="35" fillId="4" fontId="1" numFmtId="3" xfId="0" applyAlignment="1" applyBorder="1" applyFont="1" applyNumberFormat="1">
      <alignment horizontal="center"/>
    </xf>
    <xf borderId="36" fillId="4" fontId="1" numFmtId="164" xfId="0" applyAlignment="1" applyBorder="1" applyFont="1" applyNumberFormat="1">
      <alignment horizontal="center"/>
    </xf>
    <xf borderId="33" fillId="4" fontId="1" numFmtId="3" xfId="0" applyAlignment="1" applyBorder="1" applyFont="1" applyNumberFormat="1">
      <alignment horizontal="center"/>
    </xf>
    <xf borderId="37" fillId="4" fontId="1" numFmtId="3" xfId="0" applyAlignment="1" applyBorder="1" applyFont="1" applyNumberFormat="1">
      <alignment horizontal="center"/>
    </xf>
    <xf borderId="38" fillId="4" fontId="1" numFmtId="164" xfId="0" applyAlignment="1" applyBorder="1" applyFont="1" applyNumberFormat="1">
      <alignment horizontal="center"/>
    </xf>
    <xf borderId="23" fillId="0" fontId="8" numFmtId="0" xfId="0" applyAlignment="1" applyBorder="1" applyFont="1">
      <alignment horizontal="center"/>
    </xf>
    <xf borderId="25" fillId="3" fontId="13" numFmtId="3" xfId="0" applyAlignment="1" applyBorder="1" applyFont="1" applyNumberFormat="1">
      <alignment horizontal="center"/>
    </xf>
    <xf borderId="39" fillId="4" fontId="5" numFmtId="0" xfId="0" applyAlignment="1" applyBorder="1" applyFont="1">
      <alignment horizontal="center"/>
    </xf>
    <xf borderId="40" fillId="4" fontId="10" numFmtId="0" xfId="0" applyAlignment="1" applyBorder="1" applyFont="1">
      <alignment horizontal="left"/>
    </xf>
    <xf borderId="41" fillId="4" fontId="1" numFmtId="3" xfId="0" applyAlignment="1" applyBorder="1" applyFont="1" applyNumberFormat="1">
      <alignment horizontal="center"/>
    </xf>
    <xf borderId="41" fillId="4" fontId="12" numFmtId="3" xfId="0" applyAlignment="1" applyBorder="1" applyFont="1" applyNumberFormat="1">
      <alignment horizontal="center"/>
    </xf>
    <xf borderId="42" fillId="4" fontId="1" numFmtId="3" xfId="0" applyBorder="1" applyFont="1" applyNumberFormat="1"/>
    <xf borderId="42" fillId="4" fontId="1" numFmtId="3" xfId="0" applyAlignment="1" applyBorder="1" applyFont="1" applyNumberFormat="1">
      <alignment horizontal="right"/>
    </xf>
    <xf borderId="42" fillId="4" fontId="1" numFmtId="3" xfId="0" applyAlignment="1" applyBorder="1" applyFont="1" applyNumberFormat="1">
      <alignment horizontal="center"/>
    </xf>
    <xf borderId="43" fillId="4" fontId="1" numFmtId="164" xfId="0" applyAlignment="1" applyBorder="1" applyFont="1" applyNumberFormat="1">
      <alignment horizontal="center"/>
    </xf>
    <xf borderId="44" fillId="4" fontId="1" numFmtId="3" xfId="0" applyAlignment="1" applyBorder="1" applyFont="1" applyNumberFormat="1">
      <alignment horizontal="center"/>
    </xf>
    <xf borderId="45" fillId="4" fontId="1" numFmtId="3" xfId="0" applyAlignment="1" applyBorder="1" applyFont="1" applyNumberFormat="1">
      <alignment horizontal="center"/>
    </xf>
    <xf borderId="46" fillId="4" fontId="1" numFmtId="164" xfId="0" applyAlignment="1" applyBorder="1" applyFont="1" applyNumberFormat="1">
      <alignment horizontal="center"/>
    </xf>
    <xf borderId="47" fillId="0" fontId="1" numFmtId="0" xfId="0" applyAlignment="1" applyBorder="1" applyFont="1">
      <alignment horizontal="center"/>
    </xf>
    <xf borderId="48" fillId="0" fontId="4" numFmtId="0" xfId="0" applyBorder="1" applyFont="1"/>
    <xf borderId="49" fillId="0" fontId="1" numFmtId="3" xfId="0" applyAlignment="1" applyBorder="1" applyFont="1" applyNumberFormat="1">
      <alignment horizontal="center"/>
    </xf>
    <xf borderId="50" fillId="0" fontId="1" numFmtId="164" xfId="0" applyAlignment="1" applyBorder="1" applyFont="1" applyNumberFormat="1">
      <alignment horizontal="center"/>
    </xf>
    <xf borderId="51" fillId="0" fontId="1" numFmtId="3" xfId="0" applyAlignment="1" applyBorder="1" applyFont="1" applyNumberFormat="1">
      <alignment horizontal="center"/>
    </xf>
    <xf borderId="48" fillId="0" fontId="1" numFmtId="164" xfId="0" applyAlignment="1" applyBorder="1" applyFont="1" applyNumberFormat="1">
      <alignment horizontal="center"/>
    </xf>
    <xf borderId="0" fillId="0" fontId="1" numFmtId="10" xfId="0" applyAlignment="1" applyFont="1" applyNumberFormat="1">
      <alignment horizontal="center"/>
    </xf>
    <xf borderId="0" fillId="0" fontId="14" numFmtId="0" xfId="0" applyFont="1"/>
    <xf borderId="52" fillId="6" fontId="15" numFmtId="0" xfId="0" applyAlignment="1" applyBorder="1" applyFill="1" applyFont="1">
      <alignment horizontal="left" shrinkToFit="0" vertical="center" wrapText="1"/>
    </xf>
    <xf borderId="53" fillId="0" fontId="4" numFmtId="0" xfId="0" applyBorder="1" applyFont="1"/>
    <xf borderId="54" fillId="6" fontId="16" numFmtId="0" xfId="0" applyAlignment="1" applyBorder="1" applyFont="1">
      <alignment horizontal="center" vertical="center"/>
    </xf>
    <xf borderId="54" fillId="6" fontId="17" numFmtId="0" xfId="0" applyBorder="1" applyFont="1"/>
    <xf borderId="55" fillId="0" fontId="4" numFmtId="0" xfId="0" applyBorder="1" applyFont="1"/>
    <xf borderId="54" fillId="6" fontId="16" numFmtId="0" xfId="0" applyAlignment="1" applyBorder="1" applyFont="1">
      <alignment horizontal="left" vertical="center"/>
    </xf>
    <xf borderId="56" fillId="6" fontId="18" numFmtId="0" xfId="0" applyAlignment="1" applyBorder="1" applyFont="1">
      <alignment horizontal="left" vertical="center"/>
    </xf>
    <xf borderId="57" fillId="0" fontId="4" numFmtId="0" xfId="0" applyBorder="1" applyFont="1"/>
    <xf borderId="0" fillId="0" fontId="7" numFmtId="0" xfId="0" applyAlignment="1" applyFont="1">
      <alignment vertical="center"/>
    </xf>
    <xf borderId="58" fillId="0" fontId="11" numFmtId="0" xfId="0" applyAlignment="1" applyBorder="1" applyFont="1">
      <alignment horizontal="center" shrinkToFit="0" vertical="center" wrapText="1"/>
    </xf>
    <xf borderId="59" fillId="0" fontId="11" numFmtId="0" xfId="0" applyAlignment="1" applyBorder="1" applyFont="1">
      <alignment horizontal="center" vertical="center"/>
    </xf>
    <xf borderId="32" fillId="0" fontId="4" numFmtId="0" xfId="0" applyBorder="1" applyFont="1"/>
    <xf borderId="0" fillId="0" fontId="7" numFmtId="0" xfId="0" applyAlignment="1" applyFont="1">
      <alignment shrinkToFit="0" vertical="center" wrapText="1"/>
    </xf>
    <xf borderId="60" fillId="0" fontId="4" numFmtId="0" xfId="0" applyBorder="1" applyFont="1"/>
    <xf borderId="25" fillId="0" fontId="11" numFmtId="0" xfId="0" applyAlignment="1" applyBorder="1" applyFont="1">
      <alignment horizontal="center" shrinkToFit="0" vertical="center" wrapText="1"/>
    </xf>
    <xf borderId="61" fillId="0" fontId="4" numFmtId="0" xfId="0" applyBorder="1" applyFont="1"/>
    <xf borderId="25" fillId="0" fontId="11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25" fillId="0" fontId="19" numFmtId="0" xfId="0" applyAlignment="1" applyBorder="1" applyFont="1">
      <alignment horizontal="left"/>
    </xf>
    <xf borderId="25" fillId="0" fontId="6" numFmtId="3" xfId="0" applyAlignment="1" applyBorder="1" applyFont="1" applyNumberFormat="1">
      <alignment horizontal="right"/>
    </xf>
    <xf borderId="52" fillId="6" fontId="16" numFmtId="0" xfId="0" applyAlignment="1" applyBorder="1" applyFont="1">
      <alignment horizontal="center" vertical="center"/>
    </xf>
    <xf borderId="59" fillId="7" fontId="2" numFmtId="0" xfId="0" applyAlignment="1" applyBorder="1" applyFill="1" applyFont="1">
      <alignment horizontal="center" vertical="center"/>
    </xf>
    <xf borderId="0" fillId="0" fontId="17" numFmtId="0" xfId="0" applyAlignment="1" applyFont="1">
      <alignment vertical="center"/>
    </xf>
    <xf borderId="62" fillId="8" fontId="2" numFmtId="0" xfId="0" applyAlignment="1" applyBorder="1" applyFill="1" applyFont="1">
      <alignment horizontal="center" shrinkToFit="0" vertical="center" wrapText="1"/>
    </xf>
    <xf borderId="62" fillId="9" fontId="2" numFmtId="0" xfId="0" applyAlignment="1" applyBorder="1" applyFill="1" applyFont="1">
      <alignment horizontal="center" shrinkToFit="0" vertical="center" wrapText="1"/>
    </xf>
    <xf borderId="62" fillId="10" fontId="2" numFmtId="0" xfId="0" applyAlignment="1" applyBorder="1" applyFill="1" applyFont="1">
      <alignment horizontal="center" shrinkToFit="0" vertical="center" wrapText="1"/>
    </xf>
    <xf borderId="28" fillId="0" fontId="20" numFmtId="164" xfId="0" applyAlignment="1" applyBorder="1" applyFont="1" applyNumberFormat="1">
      <alignment horizontal="center"/>
    </xf>
    <xf borderId="61" fillId="0" fontId="6" numFmtId="3" xfId="0" applyAlignment="1" applyBorder="1" applyFont="1" applyNumberFormat="1">
      <alignment horizontal="right"/>
    </xf>
    <xf borderId="0" fillId="0" fontId="21" numFmtId="0" xfId="0" applyFont="1"/>
    <xf borderId="0" fillId="0" fontId="22" numFmtId="0" xfId="0" applyFont="1"/>
    <xf borderId="0" fillId="0" fontId="7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19050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38100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525917830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233102740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3.0" ySplit="6.0" topLeftCell="D7" activePane="bottomRight" state="frozen"/>
      <selection activeCell="D1" sqref="D1" pane="topRight"/>
      <selection activeCell="A7" sqref="A7" pane="bottomLeft"/>
      <selection activeCell="D7" sqref="D7" pane="bottomRight"/>
    </sheetView>
  </sheetViews>
  <sheetFormatPr customHeight="1" defaultColWidth="11.22" defaultRowHeight="15.0"/>
  <cols>
    <col customWidth="1" min="1" max="1" width="1.44"/>
    <col customWidth="1" min="2" max="2" width="4.89"/>
    <col customWidth="1" min="3" max="3" width="18.78"/>
    <col customWidth="1" min="4" max="6" width="7.89"/>
    <col customWidth="1" min="7" max="12" width="5.67"/>
    <col customWidth="1" min="13" max="33" width="7.89"/>
  </cols>
  <sheetData>
    <row r="1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>
      <c r="B2" s="1" t="s">
        <v>1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>
      <c r="B3" s="1" t="s">
        <v>2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>
      <c r="B4" s="5" t="s">
        <v>3</v>
      </c>
      <c r="C4" s="6" t="s">
        <v>4</v>
      </c>
      <c r="D4" s="7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30.0" customHeight="1">
      <c r="B5" s="10"/>
      <c r="C5" s="11"/>
      <c r="D5" s="12" t="s">
        <v>6</v>
      </c>
      <c r="E5" s="13"/>
      <c r="F5" s="14"/>
      <c r="G5" s="15" t="s">
        <v>7</v>
      </c>
      <c r="H5" s="13"/>
      <c r="I5" s="16"/>
      <c r="J5" s="15" t="s">
        <v>8</v>
      </c>
      <c r="K5" s="13"/>
      <c r="L5" s="16"/>
      <c r="M5" s="17" t="s">
        <v>9</v>
      </c>
      <c r="N5" s="13"/>
      <c r="O5" s="13"/>
      <c r="P5" s="18"/>
      <c r="Q5" s="19" t="s">
        <v>10</v>
      </c>
      <c r="R5" s="20"/>
      <c r="S5" s="20"/>
      <c r="T5" s="2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B6" s="22"/>
      <c r="C6" s="23"/>
      <c r="D6" s="24" t="s">
        <v>11</v>
      </c>
      <c r="E6" s="24" t="s">
        <v>12</v>
      </c>
      <c r="F6" s="25" t="s">
        <v>13</v>
      </c>
      <c r="G6" s="24" t="s">
        <v>11</v>
      </c>
      <c r="H6" s="24" t="s">
        <v>12</v>
      </c>
      <c r="I6" s="24" t="s">
        <v>13</v>
      </c>
      <c r="J6" s="24" t="s">
        <v>11</v>
      </c>
      <c r="K6" s="24" t="s">
        <v>12</v>
      </c>
      <c r="L6" s="24" t="s">
        <v>13</v>
      </c>
      <c r="M6" s="24" t="s">
        <v>11</v>
      </c>
      <c r="N6" s="24" t="s">
        <v>12</v>
      </c>
      <c r="O6" s="24" t="s">
        <v>13</v>
      </c>
      <c r="P6" s="26" t="s">
        <v>14</v>
      </c>
      <c r="Q6" s="24" t="s">
        <v>11</v>
      </c>
      <c r="R6" s="24" t="s">
        <v>12</v>
      </c>
      <c r="S6" s="24" t="s">
        <v>13</v>
      </c>
      <c r="T6" s="27" t="s">
        <v>14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hidden="1">
      <c r="B7" s="5" t="s">
        <v>3</v>
      </c>
      <c r="C7" s="6" t="s">
        <v>4</v>
      </c>
      <c r="D7" s="7" t="s">
        <v>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ht="34.5" hidden="1" customHeight="1">
      <c r="B8" s="10"/>
      <c r="C8" s="11"/>
      <c r="D8" s="12" t="s">
        <v>6</v>
      </c>
      <c r="E8" s="13"/>
      <c r="F8" s="14"/>
      <c r="G8" s="15" t="s">
        <v>7</v>
      </c>
      <c r="H8" s="13"/>
      <c r="I8" s="16"/>
      <c r="J8" s="15" t="s">
        <v>8</v>
      </c>
      <c r="K8" s="13"/>
      <c r="L8" s="16"/>
      <c r="M8" s="17" t="s">
        <v>9</v>
      </c>
      <c r="N8" s="13"/>
      <c r="O8" s="13"/>
      <c r="P8" s="18"/>
      <c r="Q8" s="28" t="s">
        <v>10</v>
      </c>
      <c r="R8" s="20"/>
      <c r="S8" s="20"/>
      <c r="T8" s="2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hidden="1">
      <c r="B9" s="22"/>
      <c r="C9" s="23"/>
      <c r="D9" s="24" t="s">
        <v>11</v>
      </c>
      <c r="E9" s="24" t="s">
        <v>12</v>
      </c>
      <c r="F9" s="25" t="s">
        <v>13</v>
      </c>
      <c r="G9" s="24" t="s">
        <v>11</v>
      </c>
      <c r="H9" s="24" t="s">
        <v>12</v>
      </c>
      <c r="I9" s="24" t="s">
        <v>13</v>
      </c>
      <c r="J9" s="24" t="s">
        <v>11</v>
      </c>
      <c r="K9" s="24" t="s">
        <v>12</v>
      </c>
      <c r="L9" s="24" t="s">
        <v>13</v>
      </c>
      <c r="M9" s="24" t="s">
        <v>11</v>
      </c>
      <c r="N9" s="24" t="s">
        <v>12</v>
      </c>
      <c r="O9" s="24" t="s">
        <v>13</v>
      </c>
      <c r="P9" s="26" t="s">
        <v>14</v>
      </c>
      <c r="Q9" s="24" t="s">
        <v>11</v>
      </c>
      <c r="R9" s="24" t="s">
        <v>12</v>
      </c>
      <c r="S9" s="24" t="s">
        <v>13</v>
      </c>
      <c r="T9" s="27" t="s">
        <v>14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>
      <c r="B10" s="29">
        <v>1.0</v>
      </c>
      <c r="C10" s="30" t="s">
        <v>15</v>
      </c>
      <c r="D10" s="31">
        <v>18867.0</v>
      </c>
      <c r="E10" s="31">
        <v>18634.0</v>
      </c>
      <c r="F10" s="32">
        <f t="shared" ref="F10:F26" si="3">D10+E10</f>
        <v>37501</v>
      </c>
      <c r="G10" s="33">
        <v>480.0</v>
      </c>
      <c r="H10" s="34">
        <v>884.0</v>
      </c>
      <c r="I10" s="35">
        <f t="shared" ref="I10:I12" si="4">G10+H10</f>
        <v>1364</v>
      </c>
      <c r="J10" s="33">
        <v>1346.0</v>
      </c>
      <c r="K10" s="33">
        <v>1765.0</v>
      </c>
      <c r="L10" s="36">
        <f t="shared" ref="L10:L12" si="5">J10+K10</f>
        <v>3111</v>
      </c>
      <c r="M10" s="37">
        <f t="shared" ref="M10:N10" si="1">SUM(G10,J10)</f>
        <v>1826</v>
      </c>
      <c r="N10" s="37">
        <f t="shared" si="1"/>
        <v>2649</v>
      </c>
      <c r="O10" s="35">
        <f t="shared" ref="O10:O12" si="7">M10+N10</f>
        <v>4475</v>
      </c>
      <c r="P10" s="38">
        <f t="shared" ref="P10:P26" si="8">O10/F10*100</f>
        <v>11.93301512</v>
      </c>
      <c r="Q10" s="39">
        <v>24.0</v>
      </c>
      <c r="R10" s="40">
        <v>55.0</v>
      </c>
      <c r="S10" s="40">
        <f t="shared" ref="S10:S12" si="9">Q10+R10</f>
        <v>79</v>
      </c>
      <c r="T10" s="41">
        <f t="shared" ref="T10:T26" si="10">S10/O10*100</f>
        <v>1.765363128</v>
      </c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>
      <c r="B11" s="29">
        <v>2.0</v>
      </c>
      <c r="C11" s="30" t="s">
        <v>16</v>
      </c>
      <c r="D11" s="31">
        <f t="shared" ref="D11:E11" si="2">D10</f>
        <v>18867</v>
      </c>
      <c r="E11" s="31">
        <f t="shared" si="2"/>
        <v>18634</v>
      </c>
      <c r="F11" s="32">
        <f t="shared" si="3"/>
        <v>37501</v>
      </c>
      <c r="G11" s="43">
        <v>470.0</v>
      </c>
      <c r="H11" s="44">
        <v>928.0</v>
      </c>
      <c r="I11" s="45">
        <f t="shared" si="4"/>
        <v>1398</v>
      </c>
      <c r="J11" s="43">
        <v>195.0</v>
      </c>
      <c r="K11" s="43">
        <v>460.0</v>
      </c>
      <c r="L11" s="46">
        <f t="shared" si="5"/>
        <v>655</v>
      </c>
      <c r="M11" s="47">
        <f t="shared" ref="M11:N11" si="6">SUM(G11,J11)</f>
        <v>665</v>
      </c>
      <c r="N11" s="47">
        <f t="shared" si="6"/>
        <v>1388</v>
      </c>
      <c r="O11" s="45">
        <f t="shared" si="7"/>
        <v>2053</v>
      </c>
      <c r="P11" s="48">
        <f t="shared" si="8"/>
        <v>5.474520679</v>
      </c>
      <c r="Q11" s="49">
        <v>18.0</v>
      </c>
      <c r="R11" s="37">
        <v>18.0</v>
      </c>
      <c r="S11" s="37">
        <f t="shared" si="9"/>
        <v>36</v>
      </c>
      <c r="T11" s="50">
        <f t="shared" si="10"/>
        <v>1.753531417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>
      <c r="B12" s="29">
        <v>3.0</v>
      </c>
      <c r="C12" s="30" t="s">
        <v>17</v>
      </c>
      <c r="D12" s="31">
        <f t="shared" ref="D12:E12" si="11">D11</f>
        <v>18867</v>
      </c>
      <c r="E12" s="31">
        <f t="shared" si="11"/>
        <v>18634</v>
      </c>
      <c r="F12" s="32">
        <f t="shared" si="3"/>
        <v>37501</v>
      </c>
      <c r="G12" s="43">
        <v>361.0</v>
      </c>
      <c r="H12" s="44">
        <v>573.0</v>
      </c>
      <c r="I12" s="45">
        <f t="shared" si="4"/>
        <v>934</v>
      </c>
      <c r="J12" s="43">
        <v>130.0</v>
      </c>
      <c r="K12" s="43">
        <v>447.0</v>
      </c>
      <c r="L12" s="46">
        <f t="shared" si="5"/>
        <v>577</v>
      </c>
      <c r="M12" s="47">
        <f t="shared" ref="M12:N12" si="12">SUM(G12,J12)</f>
        <v>491</v>
      </c>
      <c r="N12" s="47">
        <f t="shared" si="12"/>
        <v>1020</v>
      </c>
      <c r="O12" s="45">
        <f t="shared" si="7"/>
        <v>1511</v>
      </c>
      <c r="P12" s="48">
        <f t="shared" si="8"/>
        <v>4.029225887</v>
      </c>
      <c r="Q12" s="49">
        <v>11.0</v>
      </c>
      <c r="R12" s="37">
        <v>19.0</v>
      </c>
      <c r="S12" s="37">
        <f t="shared" si="9"/>
        <v>30</v>
      </c>
      <c r="T12" s="50">
        <f t="shared" si="10"/>
        <v>1.985440106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>
      <c r="B13" s="51">
        <v>4.0</v>
      </c>
      <c r="C13" s="52" t="s">
        <v>18</v>
      </c>
      <c r="D13" s="53">
        <f t="shared" ref="D13:E13" si="13">D12</f>
        <v>18867</v>
      </c>
      <c r="E13" s="53">
        <f t="shared" si="13"/>
        <v>18634</v>
      </c>
      <c r="F13" s="54">
        <f t="shared" si="3"/>
        <v>37501</v>
      </c>
      <c r="G13" s="55">
        <f t="shared" ref="G13:O13" si="14">SUM(G10:G12)</f>
        <v>1311</v>
      </c>
      <c r="H13" s="56">
        <f t="shared" si="14"/>
        <v>2385</v>
      </c>
      <c r="I13" s="57">
        <f t="shared" si="14"/>
        <v>3696</v>
      </c>
      <c r="J13" s="55">
        <f t="shared" si="14"/>
        <v>1671</v>
      </c>
      <c r="K13" s="55">
        <f t="shared" si="14"/>
        <v>2672</v>
      </c>
      <c r="L13" s="58">
        <f t="shared" si="14"/>
        <v>4343</v>
      </c>
      <c r="M13" s="59">
        <f t="shared" si="14"/>
        <v>2982</v>
      </c>
      <c r="N13" s="59">
        <f t="shared" si="14"/>
        <v>5057</v>
      </c>
      <c r="O13" s="57">
        <f t="shared" si="14"/>
        <v>8039</v>
      </c>
      <c r="P13" s="60">
        <f t="shared" si="8"/>
        <v>21.43676169</v>
      </c>
      <c r="Q13" s="61">
        <f t="shared" ref="Q13:S13" si="15">SUM(Q10:Q12)</f>
        <v>53</v>
      </c>
      <c r="R13" s="62">
        <f t="shared" si="15"/>
        <v>92</v>
      </c>
      <c r="S13" s="62">
        <f t="shared" si="15"/>
        <v>145</v>
      </c>
      <c r="T13" s="63">
        <f t="shared" si="10"/>
        <v>1.803706929</v>
      </c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>
      <c r="B14" s="29">
        <v>5.0</v>
      </c>
      <c r="C14" s="30" t="s">
        <v>19</v>
      </c>
      <c r="D14" s="31">
        <f t="shared" ref="D14:E14" si="16">D13</f>
        <v>18867</v>
      </c>
      <c r="E14" s="31">
        <f t="shared" si="16"/>
        <v>18634</v>
      </c>
      <c r="F14" s="32">
        <f t="shared" si="3"/>
        <v>37501</v>
      </c>
      <c r="G14" s="43">
        <v>371.0</v>
      </c>
      <c r="H14" s="44">
        <v>651.0</v>
      </c>
      <c r="I14" s="45">
        <f t="shared" ref="I14:I16" si="19">G14+H14</f>
        <v>1022</v>
      </c>
      <c r="J14" s="43">
        <v>213.0</v>
      </c>
      <c r="K14" s="43">
        <v>467.0</v>
      </c>
      <c r="L14" s="46">
        <f t="shared" ref="L14:L16" si="20">J14+K14</f>
        <v>680</v>
      </c>
      <c r="M14" s="47">
        <f t="shared" ref="M14:N14" si="17">SUM(G14,J14)</f>
        <v>584</v>
      </c>
      <c r="N14" s="47">
        <f t="shared" si="17"/>
        <v>1118</v>
      </c>
      <c r="O14" s="45">
        <f t="shared" ref="O14:O16" si="22">M14+N14</f>
        <v>1702</v>
      </c>
      <c r="P14" s="48">
        <f t="shared" si="8"/>
        <v>4.538545639</v>
      </c>
      <c r="Q14" s="49">
        <v>7.0</v>
      </c>
      <c r="R14" s="37">
        <v>16.0</v>
      </c>
      <c r="S14" s="37">
        <f t="shared" ref="S14:S16" si="23">Q14+R14</f>
        <v>23</v>
      </c>
      <c r="T14" s="50">
        <f t="shared" si="10"/>
        <v>1.351351351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>
      <c r="B15" s="29">
        <v>6.0</v>
      </c>
      <c r="C15" s="30" t="s">
        <v>20</v>
      </c>
      <c r="D15" s="31">
        <f t="shared" ref="D15:E15" si="18">D14</f>
        <v>18867</v>
      </c>
      <c r="E15" s="31">
        <f t="shared" si="18"/>
        <v>18634</v>
      </c>
      <c r="F15" s="32">
        <f t="shared" si="3"/>
        <v>37501</v>
      </c>
      <c r="G15" s="43">
        <v>369.0</v>
      </c>
      <c r="H15" s="44">
        <v>1060.0</v>
      </c>
      <c r="I15" s="45">
        <f t="shared" si="19"/>
        <v>1429</v>
      </c>
      <c r="J15" s="43">
        <v>179.0</v>
      </c>
      <c r="K15" s="43">
        <v>540.0</v>
      </c>
      <c r="L15" s="46">
        <f t="shared" si="20"/>
        <v>719</v>
      </c>
      <c r="M15" s="47">
        <f t="shared" ref="M15:N15" si="21">SUM(G15,J15)</f>
        <v>548</v>
      </c>
      <c r="N15" s="47">
        <f t="shared" si="21"/>
        <v>1600</v>
      </c>
      <c r="O15" s="45">
        <f t="shared" si="22"/>
        <v>2148</v>
      </c>
      <c r="P15" s="48">
        <f t="shared" si="8"/>
        <v>5.727847257</v>
      </c>
      <c r="Q15" s="49">
        <v>2.0</v>
      </c>
      <c r="R15" s="37">
        <v>18.0</v>
      </c>
      <c r="S15" s="37">
        <f t="shared" si="23"/>
        <v>20</v>
      </c>
      <c r="T15" s="50">
        <f t="shared" si="10"/>
        <v>0.9310986965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>
      <c r="B16" s="64">
        <v>7.0</v>
      </c>
      <c r="C16" s="30" t="s">
        <v>21</v>
      </c>
      <c r="D16" s="31">
        <f t="shared" ref="D16:E16" si="24">D15</f>
        <v>18867</v>
      </c>
      <c r="E16" s="31">
        <f t="shared" si="24"/>
        <v>18634</v>
      </c>
      <c r="F16" s="32">
        <f t="shared" si="3"/>
        <v>37501</v>
      </c>
      <c r="G16" s="43">
        <v>459.0</v>
      </c>
      <c r="H16" s="44">
        <v>1011.0</v>
      </c>
      <c r="I16" s="45">
        <f t="shared" si="19"/>
        <v>1470</v>
      </c>
      <c r="J16" s="43">
        <v>143.0</v>
      </c>
      <c r="K16" s="43">
        <v>368.0</v>
      </c>
      <c r="L16" s="46">
        <f t="shared" si="20"/>
        <v>511</v>
      </c>
      <c r="M16" s="47">
        <f t="shared" ref="M16:N16" si="25">SUM(G16,J16)</f>
        <v>602</v>
      </c>
      <c r="N16" s="47">
        <f t="shared" si="25"/>
        <v>1379</v>
      </c>
      <c r="O16" s="45">
        <f t="shared" si="22"/>
        <v>1981</v>
      </c>
      <c r="P16" s="48">
        <f t="shared" si="8"/>
        <v>5.282525799</v>
      </c>
      <c r="Q16" s="49">
        <v>2.0</v>
      </c>
      <c r="R16" s="37">
        <v>10.0</v>
      </c>
      <c r="S16" s="37">
        <f t="shared" si="23"/>
        <v>12</v>
      </c>
      <c r="T16" s="50">
        <f t="shared" si="10"/>
        <v>0.6057546694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>
      <c r="B17" s="51">
        <v>8.0</v>
      </c>
      <c r="C17" s="52" t="s">
        <v>22</v>
      </c>
      <c r="D17" s="53">
        <f t="shared" ref="D17:E17" si="26">D16</f>
        <v>18867</v>
      </c>
      <c r="E17" s="53">
        <f t="shared" si="26"/>
        <v>18634</v>
      </c>
      <c r="F17" s="54">
        <f t="shared" si="3"/>
        <v>37501</v>
      </c>
      <c r="G17" s="55">
        <f t="shared" ref="G17:O17" si="27">SUM(G14:G16)</f>
        <v>1199</v>
      </c>
      <c r="H17" s="56">
        <f t="shared" si="27"/>
        <v>2722</v>
      </c>
      <c r="I17" s="57">
        <f t="shared" si="27"/>
        <v>3921</v>
      </c>
      <c r="J17" s="55">
        <f t="shared" si="27"/>
        <v>535</v>
      </c>
      <c r="K17" s="55">
        <f t="shared" si="27"/>
        <v>1375</v>
      </c>
      <c r="L17" s="58">
        <f t="shared" si="27"/>
        <v>1910</v>
      </c>
      <c r="M17" s="59">
        <f t="shared" si="27"/>
        <v>1734</v>
      </c>
      <c r="N17" s="59">
        <f t="shared" si="27"/>
        <v>4097</v>
      </c>
      <c r="O17" s="57">
        <f t="shared" si="27"/>
        <v>5831</v>
      </c>
      <c r="P17" s="60">
        <f t="shared" si="8"/>
        <v>15.5489187</v>
      </c>
      <c r="Q17" s="61">
        <f t="shared" ref="Q17:S17" si="28">SUM(Q14:Q16)</f>
        <v>11</v>
      </c>
      <c r="R17" s="62">
        <f t="shared" si="28"/>
        <v>44</v>
      </c>
      <c r="S17" s="62">
        <f t="shared" si="28"/>
        <v>55</v>
      </c>
      <c r="T17" s="63">
        <f t="shared" si="10"/>
        <v>0.9432344366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ht="15.75" customHeight="1">
      <c r="B18" s="29">
        <v>9.0</v>
      </c>
      <c r="C18" s="30" t="s">
        <v>23</v>
      </c>
      <c r="D18" s="31">
        <f t="shared" ref="D18:E18" si="29">D17</f>
        <v>18867</v>
      </c>
      <c r="E18" s="31">
        <f t="shared" si="29"/>
        <v>18634</v>
      </c>
      <c r="F18" s="32">
        <f t="shared" si="3"/>
        <v>37501</v>
      </c>
      <c r="G18" s="43">
        <v>411.0</v>
      </c>
      <c r="H18" s="44">
        <v>1070.0</v>
      </c>
      <c r="I18" s="45">
        <f t="shared" ref="I18:I20" si="32">G18+H18</f>
        <v>1481</v>
      </c>
      <c r="J18" s="43">
        <v>261.0</v>
      </c>
      <c r="K18" s="43">
        <v>549.0</v>
      </c>
      <c r="L18" s="46">
        <f t="shared" ref="L18:L20" si="33">J18+K18</f>
        <v>810</v>
      </c>
      <c r="M18" s="47">
        <f t="shared" ref="M18:N18" si="30">SUM(G18,J18)</f>
        <v>672</v>
      </c>
      <c r="N18" s="47">
        <f t="shared" si="30"/>
        <v>1619</v>
      </c>
      <c r="O18" s="45">
        <f t="shared" ref="O18:O20" si="35">M18+N18</f>
        <v>2291</v>
      </c>
      <c r="P18" s="48">
        <f t="shared" si="8"/>
        <v>6.109170422</v>
      </c>
      <c r="Q18" s="49">
        <v>8.0</v>
      </c>
      <c r="R18" s="37">
        <v>16.0</v>
      </c>
      <c r="S18" s="37">
        <f t="shared" ref="S18:S20" si="36">Q18+R18</f>
        <v>24</v>
      </c>
      <c r="T18" s="50">
        <f t="shared" si="10"/>
        <v>1.047577477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ht="15.75" customHeight="1">
      <c r="B19" s="29">
        <v>10.0</v>
      </c>
      <c r="C19" s="30" t="s">
        <v>24</v>
      </c>
      <c r="D19" s="31">
        <f t="shared" ref="D19:E19" si="31">D18</f>
        <v>18867</v>
      </c>
      <c r="E19" s="31">
        <f t="shared" si="31"/>
        <v>18634</v>
      </c>
      <c r="F19" s="32">
        <f t="shared" si="3"/>
        <v>37501</v>
      </c>
      <c r="G19" s="43">
        <v>237.0</v>
      </c>
      <c r="H19" s="65">
        <v>799.0</v>
      </c>
      <c r="I19" s="45">
        <f t="shared" si="32"/>
        <v>1036</v>
      </c>
      <c r="J19" s="43">
        <v>154.0</v>
      </c>
      <c r="K19" s="43">
        <v>316.0</v>
      </c>
      <c r="L19" s="46">
        <f t="shared" si="33"/>
        <v>470</v>
      </c>
      <c r="M19" s="47">
        <f t="shared" ref="M19:N19" si="34">SUM(G19,J19)</f>
        <v>391</v>
      </c>
      <c r="N19" s="47">
        <f t="shared" si="34"/>
        <v>1115</v>
      </c>
      <c r="O19" s="45">
        <f t="shared" si="35"/>
        <v>1506</v>
      </c>
      <c r="P19" s="48">
        <f t="shared" si="8"/>
        <v>4.01589291</v>
      </c>
      <c r="Q19" s="49">
        <v>6.0</v>
      </c>
      <c r="R19" s="37">
        <v>15.0</v>
      </c>
      <c r="S19" s="37">
        <f t="shared" si="36"/>
        <v>21</v>
      </c>
      <c r="T19" s="50">
        <f t="shared" si="10"/>
        <v>1.394422311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ht="15.75" customHeight="1">
      <c r="B20" s="29">
        <v>11.0</v>
      </c>
      <c r="C20" s="30" t="s">
        <v>25</v>
      </c>
      <c r="D20" s="31">
        <f t="shared" ref="D20:E20" si="37">D19</f>
        <v>18867</v>
      </c>
      <c r="E20" s="31">
        <f t="shared" si="37"/>
        <v>18634</v>
      </c>
      <c r="F20" s="32">
        <f t="shared" si="3"/>
        <v>37501</v>
      </c>
      <c r="G20" s="43">
        <v>407.0</v>
      </c>
      <c r="H20" s="44">
        <v>1066.0</v>
      </c>
      <c r="I20" s="45">
        <f t="shared" si="32"/>
        <v>1473</v>
      </c>
      <c r="J20" s="43">
        <v>223.0</v>
      </c>
      <c r="K20" s="43">
        <v>527.0</v>
      </c>
      <c r="L20" s="46">
        <f t="shared" si="33"/>
        <v>750</v>
      </c>
      <c r="M20" s="47">
        <f t="shared" ref="M20:N20" si="38">SUM(G20,J20)</f>
        <v>630</v>
      </c>
      <c r="N20" s="47">
        <f t="shared" si="38"/>
        <v>1593</v>
      </c>
      <c r="O20" s="45">
        <f t="shared" si="35"/>
        <v>2223</v>
      </c>
      <c r="P20" s="48">
        <f t="shared" si="8"/>
        <v>5.927841924</v>
      </c>
      <c r="Q20" s="49">
        <v>20.0</v>
      </c>
      <c r="R20" s="37">
        <v>48.0</v>
      </c>
      <c r="S20" s="37">
        <f t="shared" si="36"/>
        <v>68</v>
      </c>
      <c r="T20" s="50">
        <f t="shared" si="10"/>
        <v>3.058929375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ht="15.75" customHeight="1">
      <c r="B21" s="51">
        <v>12.0</v>
      </c>
      <c r="C21" s="52" t="s">
        <v>26</v>
      </c>
      <c r="D21" s="53">
        <f t="shared" ref="D21:E21" si="39">D20</f>
        <v>18867</v>
      </c>
      <c r="E21" s="53">
        <f t="shared" si="39"/>
        <v>18634</v>
      </c>
      <c r="F21" s="54">
        <f t="shared" si="3"/>
        <v>37501</v>
      </c>
      <c r="G21" s="55">
        <f t="shared" ref="G21:O21" si="40">SUM(G18:G20)</f>
        <v>1055</v>
      </c>
      <c r="H21" s="56">
        <f t="shared" si="40"/>
        <v>2935</v>
      </c>
      <c r="I21" s="57">
        <f t="shared" si="40"/>
        <v>3990</v>
      </c>
      <c r="J21" s="55">
        <f t="shared" si="40"/>
        <v>638</v>
      </c>
      <c r="K21" s="55">
        <f t="shared" si="40"/>
        <v>1392</v>
      </c>
      <c r="L21" s="58">
        <f t="shared" si="40"/>
        <v>2030</v>
      </c>
      <c r="M21" s="59">
        <f t="shared" si="40"/>
        <v>1693</v>
      </c>
      <c r="N21" s="59">
        <f t="shared" si="40"/>
        <v>4327</v>
      </c>
      <c r="O21" s="57">
        <f t="shared" si="40"/>
        <v>6020</v>
      </c>
      <c r="P21" s="60">
        <f t="shared" si="8"/>
        <v>16.05290526</v>
      </c>
      <c r="Q21" s="61">
        <f t="shared" ref="Q21:S21" si="41">SUM(Q18:Q20)</f>
        <v>34</v>
      </c>
      <c r="R21" s="62">
        <f t="shared" si="41"/>
        <v>79</v>
      </c>
      <c r="S21" s="62">
        <f t="shared" si="41"/>
        <v>113</v>
      </c>
      <c r="T21" s="63">
        <f t="shared" si="10"/>
        <v>1.877076412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ht="15.75" customHeight="1">
      <c r="B22" s="29">
        <v>13.0</v>
      </c>
      <c r="C22" s="30" t="s">
        <v>27</v>
      </c>
      <c r="D22" s="31">
        <f t="shared" ref="D22:E22" si="42">D21</f>
        <v>18867</v>
      </c>
      <c r="E22" s="31">
        <f t="shared" si="42"/>
        <v>18634</v>
      </c>
      <c r="F22" s="32">
        <f t="shared" si="3"/>
        <v>37501</v>
      </c>
      <c r="G22" s="43">
        <v>387.0</v>
      </c>
      <c r="H22" s="44">
        <v>1022.0</v>
      </c>
      <c r="I22" s="45">
        <f t="shared" ref="I22:I24" si="45">G22+H22</f>
        <v>1409</v>
      </c>
      <c r="J22" s="43">
        <v>203.0</v>
      </c>
      <c r="K22" s="43">
        <v>512.0</v>
      </c>
      <c r="L22" s="46">
        <f t="shared" ref="L22:L24" si="46">J22+K22</f>
        <v>715</v>
      </c>
      <c r="M22" s="47">
        <f t="shared" ref="M22:N22" si="43">SUM(G22,J22)</f>
        <v>590</v>
      </c>
      <c r="N22" s="47">
        <f t="shared" si="43"/>
        <v>1534</v>
      </c>
      <c r="O22" s="45">
        <f t="shared" ref="O22:O24" si="48">M22+N22</f>
        <v>2124</v>
      </c>
      <c r="P22" s="48">
        <f t="shared" si="8"/>
        <v>5.663848964</v>
      </c>
      <c r="Q22" s="49">
        <v>3.0</v>
      </c>
      <c r="R22" s="37">
        <v>6.0</v>
      </c>
      <c r="S22" s="37">
        <f t="shared" ref="S22:S24" si="49">Q22+R22</f>
        <v>9</v>
      </c>
      <c r="T22" s="50">
        <f t="shared" si="10"/>
        <v>0.4237288136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ht="15.75" customHeight="1">
      <c r="B23" s="29">
        <v>14.0</v>
      </c>
      <c r="C23" s="30" t="s">
        <v>28</v>
      </c>
      <c r="D23" s="31">
        <f t="shared" ref="D23:E23" si="44">D22</f>
        <v>18867</v>
      </c>
      <c r="E23" s="31">
        <f t="shared" si="44"/>
        <v>18634</v>
      </c>
      <c r="F23" s="32">
        <f t="shared" si="3"/>
        <v>37501</v>
      </c>
      <c r="G23" s="43">
        <v>445.0</v>
      </c>
      <c r="H23" s="44">
        <v>1323.0</v>
      </c>
      <c r="I23" s="45">
        <f t="shared" si="45"/>
        <v>1768</v>
      </c>
      <c r="J23" s="43">
        <v>257.0</v>
      </c>
      <c r="K23" s="43">
        <v>778.0</v>
      </c>
      <c r="L23" s="46">
        <f t="shared" si="46"/>
        <v>1035</v>
      </c>
      <c r="M23" s="47">
        <f t="shared" ref="M23:N23" si="47">SUM(G23,J23)</f>
        <v>702</v>
      </c>
      <c r="N23" s="47">
        <f t="shared" si="47"/>
        <v>2101</v>
      </c>
      <c r="O23" s="45">
        <f t="shared" si="48"/>
        <v>2803</v>
      </c>
      <c r="P23" s="48">
        <f t="shared" si="8"/>
        <v>7.474467348</v>
      </c>
      <c r="Q23" s="49">
        <v>3.0</v>
      </c>
      <c r="R23" s="37">
        <v>5.0</v>
      </c>
      <c r="S23" s="37">
        <f t="shared" si="49"/>
        <v>8</v>
      </c>
      <c r="T23" s="50">
        <f t="shared" si="10"/>
        <v>0.2854084909</v>
      </c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ht="15.75" customHeight="1">
      <c r="B24" s="29">
        <v>15.0</v>
      </c>
      <c r="C24" s="30" t="s">
        <v>29</v>
      </c>
      <c r="D24" s="31">
        <f t="shared" ref="D24:E24" si="50">D23</f>
        <v>18867</v>
      </c>
      <c r="E24" s="31">
        <f t="shared" si="50"/>
        <v>18634</v>
      </c>
      <c r="F24" s="32">
        <f t="shared" si="3"/>
        <v>37501</v>
      </c>
      <c r="G24" s="43">
        <v>358.0</v>
      </c>
      <c r="H24" s="44">
        <v>1230.0</v>
      </c>
      <c r="I24" s="45">
        <f t="shared" si="45"/>
        <v>1588</v>
      </c>
      <c r="J24" s="43">
        <v>268.0</v>
      </c>
      <c r="K24" s="43">
        <v>731.0</v>
      </c>
      <c r="L24" s="46">
        <f t="shared" si="46"/>
        <v>999</v>
      </c>
      <c r="M24" s="47">
        <f t="shared" ref="M24:N24" si="51">SUM(G24,J24)</f>
        <v>626</v>
      </c>
      <c r="N24" s="47">
        <f t="shared" si="51"/>
        <v>1961</v>
      </c>
      <c r="O24" s="45">
        <f t="shared" si="48"/>
        <v>2587</v>
      </c>
      <c r="P24" s="48">
        <f t="shared" si="8"/>
        <v>6.898482707</v>
      </c>
      <c r="Q24" s="49">
        <v>2.0</v>
      </c>
      <c r="R24" s="37">
        <v>7.0</v>
      </c>
      <c r="S24" s="37">
        <f t="shared" si="49"/>
        <v>9</v>
      </c>
      <c r="T24" s="50">
        <f t="shared" si="10"/>
        <v>0.3478933127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ht="15.75" customHeight="1">
      <c r="B25" s="66">
        <v>16.0</v>
      </c>
      <c r="C25" s="67" t="s">
        <v>30</v>
      </c>
      <c r="D25" s="53">
        <f t="shared" ref="D25:E25" si="52">D24</f>
        <v>18867</v>
      </c>
      <c r="E25" s="53">
        <f t="shared" si="52"/>
        <v>18634</v>
      </c>
      <c r="F25" s="54">
        <f t="shared" si="3"/>
        <v>37501</v>
      </c>
      <c r="G25" s="68">
        <f t="shared" ref="G25:O25" si="53">SUM(G22:G24)</f>
        <v>1190</v>
      </c>
      <c r="H25" s="69">
        <f t="shared" si="53"/>
        <v>3575</v>
      </c>
      <c r="I25" s="70">
        <f t="shared" si="53"/>
        <v>4765</v>
      </c>
      <c r="J25" s="68">
        <f t="shared" si="53"/>
        <v>728</v>
      </c>
      <c r="K25" s="68">
        <f t="shared" si="53"/>
        <v>2021</v>
      </c>
      <c r="L25" s="71">
        <f t="shared" si="53"/>
        <v>2749</v>
      </c>
      <c r="M25" s="72">
        <f t="shared" si="53"/>
        <v>1918</v>
      </c>
      <c r="N25" s="72">
        <f t="shared" si="53"/>
        <v>5596</v>
      </c>
      <c r="O25" s="70">
        <f t="shared" si="53"/>
        <v>7514</v>
      </c>
      <c r="P25" s="73">
        <f t="shared" si="8"/>
        <v>20.03679902</v>
      </c>
      <c r="Q25" s="74">
        <f t="shared" ref="Q25:S25" si="54">SUM(Q22:Q24)</f>
        <v>8</v>
      </c>
      <c r="R25" s="75">
        <f t="shared" si="54"/>
        <v>18</v>
      </c>
      <c r="S25" s="75">
        <f t="shared" si="54"/>
        <v>26</v>
      </c>
      <c r="T25" s="76">
        <f t="shared" si="10"/>
        <v>0.3460207612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ht="15.75" customHeight="1">
      <c r="B26" s="77" t="s">
        <v>13</v>
      </c>
      <c r="C26" s="78"/>
      <c r="D26" s="31">
        <f t="shared" ref="D26:E26" si="55">D25</f>
        <v>18867</v>
      </c>
      <c r="E26" s="31">
        <f t="shared" si="55"/>
        <v>18634</v>
      </c>
      <c r="F26" s="32">
        <f t="shared" si="3"/>
        <v>37501</v>
      </c>
      <c r="G26" s="79">
        <f t="shared" ref="G26:O26" si="56">SUM(G25,G21,G17,G13)</f>
        <v>4755</v>
      </c>
      <c r="H26" s="79">
        <f t="shared" si="56"/>
        <v>11617</v>
      </c>
      <c r="I26" s="79">
        <f t="shared" si="56"/>
        <v>16372</v>
      </c>
      <c r="J26" s="79">
        <f t="shared" si="56"/>
        <v>3572</v>
      </c>
      <c r="K26" s="79">
        <f t="shared" si="56"/>
        <v>7460</v>
      </c>
      <c r="L26" s="79">
        <f t="shared" si="56"/>
        <v>11032</v>
      </c>
      <c r="M26" s="79">
        <f t="shared" si="56"/>
        <v>8327</v>
      </c>
      <c r="N26" s="79">
        <f t="shared" si="56"/>
        <v>19077</v>
      </c>
      <c r="O26" s="79">
        <f t="shared" si="56"/>
        <v>27404</v>
      </c>
      <c r="P26" s="80">
        <f t="shared" si="8"/>
        <v>73.07538466</v>
      </c>
      <c r="Q26" s="81">
        <f t="shared" ref="Q26:S26" si="57">SUM(Q25,Q21,Q17,Q13)</f>
        <v>106</v>
      </c>
      <c r="R26" s="79">
        <f t="shared" si="57"/>
        <v>233</v>
      </c>
      <c r="S26" s="79">
        <f t="shared" si="57"/>
        <v>339</v>
      </c>
      <c r="T26" s="82">
        <f t="shared" si="10"/>
        <v>1.237045687</v>
      </c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ht="15.75" customHeight="1"/>
    <row r="28" ht="15.75" customHeight="1">
      <c r="F28" s="84"/>
    </row>
    <row r="29" ht="15.75" customHeight="1">
      <c r="F29" s="84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7">
    <mergeCell ref="B4:B6"/>
    <mergeCell ref="B7:B9"/>
    <mergeCell ref="C7:C9"/>
    <mergeCell ref="B26:C26"/>
    <mergeCell ref="D5:F5"/>
    <mergeCell ref="D8:F8"/>
    <mergeCell ref="G8:I8"/>
    <mergeCell ref="J8:L8"/>
    <mergeCell ref="M8:P8"/>
    <mergeCell ref="Q8:T8"/>
    <mergeCell ref="C4:C6"/>
    <mergeCell ref="D4:T4"/>
    <mergeCell ref="G5:I5"/>
    <mergeCell ref="J5:L5"/>
    <mergeCell ref="M5:P5"/>
    <mergeCell ref="Q5:T5"/>
    <mergeCell ref="D7:T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4.33"/>
    <col customWidth="1" min="2" max="2" width="28.44"/>
    <col customWidth="1" min="3" max="3" width="30.78"/>
    <col customWidth="1" min="4" max="4" width="27.89"/>
    <col customWidth="1" min="5" max="11" width="16.78"/>
    <col customWidth="1" min="12" max="18" width="11.22"/>
    <col customWidth="1" min="19" max="19" width="4.78"/>
  </cols>
  <sheetData>
    <row r="1">
      <c r="A1" s="85" t="s">
        <v>31</v>
      </c>
      <c r="B1" s="86"/>
      <c r="C1" s="87"/>
      <c r="D1" s="87"/>
      <c r="E1" s="87"/>
      <c r="F1" s="87"/>
      <c r="G1" s="87"/>
      <c r="H1" s="87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>
      <c r="A2" s="89"/>
      <c r="C2" s="90" t="s">
        <v>32</v>
      </c>
      <c r="D2" s="87"/>
      <c r="E2" s="87"/>
      <c r="F2" s="87"/>
      <c r="G2" s="87"/>
      <c r="H2" s="87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>
      <c r="A3" s="89"/>
      <c r="C3" s="90" t="s">
        <v>33</v>
      </c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ht="31.5" customHeight="1">
      <c r="A4" s="91" t="s">
        <v>34</v>
      </c>
      <c r="B4" s="92"/>
      <c r="C4" s="87"/>
      <c r="D4" s="87"/>
      <c r="E4" s="87"/>
      <c r="F4" s="87"/>
      <c r="G4" s="87"/>
      <c r="H4" s="87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6">
      <c r="A6" s="93"/>
      <c r="B6" s="94" t="s">
        <v>35</v>
      </c>
      <c r="C6" s="95" t="s">
        <v>36</v>
      </c>
      <c r="D6" s="20"/>
      <c r="E6" s="20"/>
      <c r="F6" s="20"/>
      <c r="G6" s="20"/>
      <c r="H6" s="20"/>
      <c r="I6" s="96"/>
      <c r="J6" s="93"/>
      <c r="K6" s="93"/>
      <c r="L6" s="93"/>
      <c r="M6" s="93"/>
      <c r="N6" s="93"/>
      <c r="O6" s="93"/>
      <c r="P6" s="93"/>
      <c r="Q6" s="93"/>
    </row>
    <row r="7">
      <c r="A7" s="97"/>
      <c r="B7" s="98"/>
      <c r="C7" s="99" t="s">
        <v>37</v>
      </c>
      <c r="D7" s="99" t="s">
        <v>38</v>
      </c>
      <c r="E7" s="99" t="s">
        <v>39</v>
      </c>
      <c r="F7" s="99" t="s">
        <v>40</v>
      </c>
      <c r="G7" s="99" t="s">
        <v>41</v>
      </c>
      <c r="H7" s="99" t="s">
        <v>42</v>
      </c>
      <c r="I7" s="99" t="s">
        <v>43</v>
      </c>
      <c r="J7" s="97"/>
      <c r="K7" s="97"/>
      <c r="L7" s="97"/>
      <c r="M7" s="97"/>
      <c r="N7" s="97"/>
      <c r="O7" s="97"/>
      <c r="P7" s="97"/>
      <c r="Q7" s="97"/>
    </row>
    <row r="8">
      <c r="A8" s="93"/>
      <c r="B8" s="100"/>
      <c r="C8" s="101">
        <v>1.0</v>
      </c>
      <c r="D8" s="101">
        <v>2.0</v>
      </c>
      <c r="E8" s="101">
        <v>3.0</v>
      </c>
      <c r="F8" s="101">
        <v>4.0</v>
      </c>
      <c r="G8" s="101">
        <v>5.0</v>
      </c>
      <c r="H8" s="101">
        <v>6.0</v>
      </c>
      <c r="I8" s="101">
        <v>7.0</v>
      </c>
      <c r="J8" s="102"/>
      <c r="K8" s="102"/>
      <c r="L8" s="102"/>
      <c r="M8" s="102"/>
      <c r="N8" s="102"/>
      <c r="O8" s="102"/>
      <c r="P8" s="102"/>
      <c r="Q8" s="93"/>
    </row>
    <row r="9">
      <c r="B9" s="103" t="str">
        <f>'SPM-Uspro'!$C$10</f>
        <v>JANUARI</v>
      </c>
      <c r="C9" s="104">
        <f>IFERROR(__xludf.DUMMYFUNCTION("IMPORTRANGE(""https://docs.google.com/spreadsheets/d/1P0UTisakTE5EAx-MYEjY2DmhSnLNqqRm6P3NrlYXL2I/edit#gid=1892753874"",""Rekap KTR!$E$6"")"),6.0)</f>
        <v>6</v>
      </c>
      <c r="D9" s="104">
        <f>IFERROR(__xludf.DUMMYFUNCTION("IMPORTRANGE(""https://docs.google.com/spreadsheets/d/1P0UTisakTE5EAx-MYEjY2DmhSnLNqqRm6P3NrlYXL2I/edit#gid=1892753874"",""Rekap KTR!$E$7"")"),26.0)</f>
        <v>26</v>
      </c>
      <c r="E9" s="104">
        <f>IFERROR(__xludf.DUMMYFUNCTION("IMPORTRANGE(""https://docs.google.com/spreadsheets/d/1P0UTisakTE5EAx-MYEjY2DmhSnLNqqRm6P3NrlYXL2I/edit#gid=1892753874"",""Rekap KTR!$E$8"")"),56.0)</f>
        <v>56</v>
      </c>
      <c r="F9" s="104">
        <f>IFERROR(__xludf.DUMMYFUNCTION("IMPORTRANGE(""https://docs.google.com/spreadsheets/d/1P0UTisakTE5EAx-MYEjY2DmhSnLNqqRm6P3NrlYXL2I/edit#gid=1892753874"",""Rekap KTR!$E$9"")"),8.0)</f>
        <v>8</v>
      </c>
      <c r="G9" s="104">
        <f>IFERROR(__xludf.DUMMYFUNCTION("IMPORTRANGE(""https://docs.google.com/spreadsheets/d/1P0UTisakTE5EAx-MYEjY2DmhSnLNqqRm6P3NrlYXL2I/edit#gid=1892753874"",""Rekap KTR!$E$10"")"),0.0)</f>
        <v>0</v>
      </c>
      <c r="H9" s="104">
        <f>IFERROR(__xludf.DUMMYFUNCTION("IMPORTRANGE(""https://docs.google.com/spreadsheets/d/1P0UTisakTE5EAx-MYEjY2DmhSnLNqqRm6P3NrlYXL2I/edit#gid=1892753874"",""Rekap KTR!$E$11"")"),8.0)</f>
        <v>8</v>
      </c>
      <c r="I9" s="104">
        <f>IFERROR(__xludf.DUMMYFUNCTION("IMPORTRANGE(""https://docs.google.com/spreadsheets/d/1P0UTisakTE5EAx-MYEjY2DmhSnLNqqRm6P3NrlYXL2I/edit#gid=1892753874"",""Rekap KTR!$E$12"")"),0.0)</f>
        <v>0</v>
      </c>
    </row>
    <row r="10">
      <c r="B10" s="103" t="str">
        <f>'SPM-Uspro'!$C$11</f>
        <v>FEBRUARI</v>
      </c>
      <c r="C10" s="104">
        <f>IFERROR(__xludf.DUMMYFUNCTION("IMPORTRANGE(""https://docs.google.com/spreadsheets/d/1jB-UnyPBzGq1HOZkIVtft_Wo28OEKcZNsVgS5r_boTE/edit#gid=1522333227"",""Rekap KTR!$E$6"")"),12.0)</f>
        <v>12</v>
      </c>
      <c r="D10" s="104">
        <f>IFERROR(__xludf.DUMMYFUNCTION("IMPORTRANGE(""https://docs.google.com/spreadsheets/d/1jB-UnyPBzGq1HOZkIVtft_Wo28OEKcZNsVgS5r_boTE/edit#gid=1522333227"",""Rekap KTR!$E$7"")"),53.0)</f>
        <v>53</v>
      </c>
      <c r="E10" s="104">
        <f>IFERROR(__xludf.DUMMYFUNCTION("IMPORTRANGE(""https://docs.google.com/spreadsheets/d/1jB-UnyPBzGq1HOZkIVtft_Wo28OEKcZNsVgS5r_boTE/edit#gid=1522333227"",""Rekap KTR!$E$8"")"),56.0)</f>
        <v>56</v>
      </c>
      <c r="F10" s="104" t="str">
        <f>IFERROR(__xludf.DUMMYFUNCTION("IMPORTRANGE(""https://docs.google.com/spreadsheets/d/1jB-UnyPBzGq1HOZkIVtft_Wo28OEKcZNsVgS5r_boTE/edit#gid=1522333227"",""Rekap KTR!$E$9"")"),"")</f>
        <v/>
      </c>
      <c r="G10" s="104">
        <f>IFERROR(__xludf.DUMMYFUNCTION("IMPORTRANGE(""https://docs.google.com/spreadsheets/d/1jB-UnyPBzGq1HOZkIVtft_Wo28OEKcZNsVgS5r_boTE/edit#gid=1522333227"",""Rekap KTR!$E$10"")"),0.0)</f>
        <v>0</v>
      </c>
      <c r="H10" s="104" t="str">
        <f>IFERROR(__xludf.DUMMYFUNCTION("IMPORTRANGE(""https://docs.google.com/spreadsheets/d/1jB-UnyPBzGq1HOZkIVtft_Wo28OEKcZNsVgS5r_boTE/edit#gid=1522333227"",""Rekap KTR!$E$11"")"),"")</f>
        <v/>
      </c>
      <c r="I10" s="104">
        <f>IFERROR(__xludf.DUMMYFUNCTION("IMPORTRANGE(""https://docs.google.com/spreadsheets/d/1jB-UnyPBzGq1HOZkIVtft_Wo28OEKcZNsVgS5r_boTE/edit#gid=1522333227"",""Rekap KTR!$E$12"")"),0.0)</f>
        <v>0</v>
      </c>
    </row>
    <row r="11">
      <c r="B11" s="103" t="str">
        <f>'SPM-Uspro'!$C$12</f>
        <v>MARET</v>
      </c>
      <c r="C11" s="104">
        <f>IFERROR(__xludf.DUMMYFUNCTION("IMPORTRANGE(""https://docs.google.com/spreadsheets/d/1gHFrRpJ5fnyxfJI-jxT5z1B1L7rSV8E5sIZEN90Rfhc/edit#gid=1522333227"",""Rekap KTR!$E$6"")"),4.0)</f>
        <v>4</v>
      </c>
      <c r="D11" s="104">
        <f>IFERROR(__xludf.DUMMYFUNCTION("IMPORTRANGE(""https://docs.google.com/spreadsheets/d/1gHFrRpJ5fnyxfJI-jxT5z1B1L7rSV8E5sIZEN90Rfhc/edit#gid=1522333227"",""Rekap KTR!$E$7"")"),29.0)</f>
        <v>29</v>
      </c>
      <c r="E11" s="104">
        <f>IFERROR(__xludf.DUMMYFUNCTION("IMPORTRANGE(""https://docs.google.com/spreadsheets/d/1gHFrRpJ5fnyxfJI-jxT5z1B1L7rSV8E5sIZEN90Rfhc/edit#gid=1522333227"",""Rekap KTR!$E$8"")"),31.0)</f>
        <v>31</v>
      </c>
      <c r="F11" s="104" t="str">
        <f>IFERROR(__xludf.DUMMYFUNCTION("IMPORTRANGE(""https://docs.google.com/spreadsheets/d/1gHFrRpJ5fnyxfJI-jxT5z1B1L7rSV8E5sIZEN90Rfhc/edit#gid=1522333227"",""Rekap KTR!$E$9"")"),"")</f>
        <v/>
      </c>
      <c r="G11" s="104" t="str">
        <f>IFERROR(__xludf.DUMMYFUNCTION("IMPORTRANGE(""https://docs.google.com/spreadsheets/d/1gHFrRpJ5fnyxfJI-jxT5z1B1L7rSV8E5sIZEN90Rfhc/edit#gid=1522333227"",""Rekap KTR!$E$10"")"),"")</f>
        <v/>
      </c>
      <c r="H11" s="104" t="str">
        <f>IFERROR(__xludf.DUMMYFUNCTION("IMPORTRANGE(""https://docs.google.com/spreadsheets/d/1gHFrRpJ5fnyxfJI-jxT5z1B1L7rSV8E5sIZEN90Rfhc/edit#gid=1522333227"",""Rekap KTR!$E$11"")"),"")</f>
        <v/>
      </c>
      <c r="I11" s="104" t="str">
        <f>IFERROR(__xludf.DUMMYFUNCTION("IMPORTRANGE(""https://docs.google.com/spreadsheets/d/1gHFrRpJ5fnyxfJI-jxT5z1B1L7rSV8E5sIZEN90Rfhc/edit#gid=1522333227"",""Rekap KTR!$E$12"")"),"")</f>
        <v/>
      </c>
    </row>
    <row r="12">
      <c r="B12" s="103" t="str">
        <f>'SPM-Uspro'!$C$13</f>
        <v>TRIBULAN 1</v>
      </c>
      <c r="C12" s="104">
        <f>IFERROR(__xludf.DUMMYFUNCTION("IMPORTRANGE(""https://docs.google.com/spreadsheets/d/1saC2UP2JuYJ7WRPxjh8EMf_BSfGZ18Ous8sVKGLr-Ng/edit#gid=1892753874"",""Rekap KTR!$E$6"")"),8.0)</f>
        <v>8</v>
      </c>
      <c r="D12" s="104">
        <f>IFERROR(__xludf.DUMMYFUNCTION("IMPORTRANGE(""https://docs.google.com/spreadsheets/d/1saC2UP2JuYJ7WRPxjh8EMf_BSfGZ18Ous8sVKGLr-Ng/edit#gid=1892753874"",""Rekap KTR!$E$7"")"),41.0)</f>
        <v>41</v>
      </c>
      <c r="E12" s="104">
        <f>IFERROR(__xludf.DUMMYFUNCTION("IMPORTRANGE(""https://docs.google.com/spreadsheets/d/1saC2UP2JuYJ7WRPxjh8EMf_BSfGZ18Ous8sVKGLr-Ng/edit#gid=1892753874"",""Rekap KTR!$E$8"")"),41.0)</f>
        <v>41</v>
      </c>
      <c r="F12" s="104">
        <f>IFERROR(__xludf.DUMMYFUNCTION("IMPORTRANGE(""https://docs.google.com/spreadsheets/d/1saC2UP2JuYJ7WRPxjh8EMf_BSfGZ18Ous8sVKGLr-Ng/edit#gid=1892753874"",""Rekap KTR!$E$9"")"),14.0)</f>
        <v>14</v>
      </c>
      <c r="G12" s="104">
        <f>IFERROR(__xludf.DUMMYFUNCTION("IMPORTRANGE(""https://docs.google.com/spreadsheets/d/1saC2UP2JuYJ7WRPxjh8EMf_BSfGZ18Ous8sVKGLr-Ng/edit#gid=1892753874"",""Rekap KTR!$E$10"")"),0.0)</f>
        <v>0</v>
      </c>
      <c r="H12" s="104">
        <f>IFERROR(__xludf.DUMMYFUNCTION("IMPORTRANGE(""https://docs.google.com/spreadsheets/d/1saC2UP2JuYJ7WRPxjh8EMf_BSfGZ18Ous8sVKGLr-Ng/edit#gid=1892753874"",""Rekap KTR!$E$11"")"),0.0)</f>
        <v>0</v>
      </c>
      <c r="I12" s="104">
        <f>IFERROR(__xludf.DUMMYFUNCTION("IMPORTRANGE(""https://docs.google.com/spreadsheets/d/1saC2UP2JuYJ7WRPxjh8EMf_BSfGZ18Ous8sVKGLr-Ng/edit#gid=1892753874"",""Rekap KTR!$E$12"")"),0.0)</f>
        <v>0</v>
      </c>
    </row>
    <row r="13">
      <c r="B13" s="103" t="str">
        <f>'SPM-Uspro'!$C$14</f>
        <v>APRIL</v>
      </c>
      <c r="C13" s="104">
        <f>IFERROR(__xludf.DUMMYFUNCTION("IMPORTRANGE(""https://docs.google.com/spreadsheets/d/1ApPPV7RPuDI1EDOKjkoDXkV5Yd_NofeQTYTtAHUYGGw/edit#gid=1522333227"",""Rekap KTR!$E$6"")"),3.0)</f>
        <v>3</v>
      </c>
      <c r="D13" s="104">
        <f>IFERROR(__xludf.DUMMYFUNCTION("IMPORTRANGE(""https://docs.google.com/spreadsheets/d/1ApPPV7RPuDI1EDOKjkoDXkV5Yd_NofeQTYTtAHUYGGw/edit#gid=1522333227"",""Rekap KTR!$E$7"")"),20.0)</f>
        <v>20</v>
      </c>
      <c r="E13" s="104">
        <f>IFERROR(__xludf.DUMMYFUNCTION("IMPORTRANGE(""https://docs.google.com/spreadsheets/d/1ApPPV7RPuDI1EDOKjkoDXkV5Yd_NofeQTYTtAHUYGGw/edit#gid=1522333227"",""Rekap KTR!$E$8"")"),6.0)</f>
        <v>6</v>
      </c>
      <c r="F13" s="104" t="str">
        <f>IFERROR(__xludf.DUMMYFUNCTION("IMPORTRANGE(""https://docs.google.com/spreadsheets/d/1ApPPV7RPuDI1EDOKjkoDXkV5Yd_NofeQTYTtAHUYGGw/edit#gid=1522333227"",""Rekap KTR!$E$9"")"),"")</f>
        <v/>
      </c>
      <c r="G13" s="104" t="str">
        <f>IFERROR(__xludf.DUMMYFUNCTION("IMPORTRANGE(""https://docs.google.com/spreadsheets/d/1ApPPV7RPuDI1EDOKjkoDXkV5Yd_NofeQTYTtAHUYGGw/edit#gid=1522333227"",""Rekap KTR!$E$10"")"),"")</f>
        <v/>
      </c>
      <c r="H13" s="104" t="str">
        <f>IFERROR(__xludf.DUMMYFUNCTION("IMPORTRANGE(""https://docs.google.com/spreadsheets/d/1ApPPV7RPuDI1EDOKjkoDXkV5Yd_NofeQTYTtAHUYGGw/edit#gid=1522333227"",""Rekap KTR!$E$11"")"),"")</f>
        <v/>
      </c>
      <c r="I13" s="104" t="str">
        <f>IFERROR(__xludf.DUMMYFUNCTION("IMPORTRANGE(""https://docs.google.com/spreadsheets/d/1ApPPV7RPuDI1EDOKjkoDXkV5Yd_NofeQTYTtAHUYGGw/edit#gid=1522333227"",""Rekap KTR!$E$12"")"),"")</f>
        <v/>
      </c>
    </row>
    <row r="14">
      <c r="B14" s="103" t="str">
        <f>'SPM-Uspro'!$C$15</f>
        <v>MEI</v>
      </c>
      <c r="C14" s="104">
        <f>IFERROR(__xludf.DUMMYFUNCTION("IMPORTRANGE(""https://docs.google.com/spreadsheets/d/1iV_nqIfkAdyO_vl_QARxWbfnGcK2KlCCS94aVJ2QbTI/edit#gid=1522333227"",""Rekap KTR!$E$6"")"),6.0)</f>
        <v>6</v>
      </c>
      <c r="D14" s="104">
        <f>IFERROR(__xludf.DUMMYFUNCTION("IMPORTRANGE(""https://docs.google.com/spreadsheets/d/1iV_nqIfkAdyO_vl_QARxWbfnGcK2KlCCS94aVJ2QbTI/edit#gid=1522333227"",""Rekap KTR!$E$7"")"),26.0)</f>
        <v>26</v>
      </c>
      <c r="E14" s="104">
        <f>IFERROR(__xludf.DUMMYFUNCTION("IMPORTRANGE(""https://docs.google.com/spreadsheets/d/1iV_nqIfkAdyO_vl_QARxWbfnGcK2KlCCS94aVJ2QbTI/edit#gid=1522333227"",""Rekap KTR!$E$8"")"),13.0)</f>
        <v>13</v>
      </c>
      <c r="F14" s="104">
        <f>IFERROR(__xludf.DUMMYFUNCTION("IMPORTRANGE(""https://docs.google.com/spreadsheets/d/1iV_nqIfkAdyO_vl_QARxWbfnGcK2KlCCS94aVJ2QbTI/edit#gid=1522333227"",""Rekap KTR!$E$9"")"),0.0)</f>
        <v>0</v>
      </c>
      <c r="G14" s="104">
        <f>IFERROR(__xludf.DUMMYFUNCTION("IMPORTRANGE(""https://docs.google.com/spreadsheets/d/1iV_nqIfkAdyO_vl_QARxWbfnGcK2KlCCS94aVJ2QbTI/edit#gid=1522333227"",""Rekap KTR!$E$10"")"),0.0)</f>
        <v>0</v>
      </c>
      <c r="H14" s="104">
        <f>IFERROR(__xludf.DUMMYFUNCTION("IMPORTRANGE(""https://docs.google.com/spreadsheets/d/1iV_nqIfkAdyO_vl_QARxWbfnGcK2KlCCS94aVJ2QbTI/edit#gid=1522333227"",""Rekap KTR!$E$11"")"),0.0)</f>
        <v>0</v>
      </c>
      <c r="I14" s="104">
        <f>IFERROR(__xludf.DUMMYFUNCTION("IMPORTRANGE(""https://docs.google.com/spreadsheets/d/1iV_nqIfkAdyO_vl_QARxWbfnGcK2KlCCS94aVJ2QbTI/edit#gid=1522333227"",""Rekap KTR!$E$12"")"),0.0)</f>
        <v>0</v>
      </c>
    </row>
    <row r="15">
      <c r="B15" s="103" t="str">
        <f>'SPM-Uspro'!$C$16</f>
        <v>JUNI</v>
      </c>
      <c r="C15" s="104">
        <f>IFERROR(__xludf.DUMMYFUNCTION("IMPORTRANGE(""https://docs.google.com/spreadsheets/d/1zz70Lj6oBg1MOPSG6KJcsMeqBNtXMHYICRkg7kpt_d0/edit#gid=1892753874"",""Rekap KTR!$E$6"")"),9.0)</f>
        <v>9</v>
      </c>
      <c r="D15" s="104">
        <f>IFERROR(__xludf.DUMMYFUNCTION("IMPORTRANGE(""https://docs.google.com/spreadsheets/d/1zz70Lj6oBg1MOPSG6KJcsMeqBNtXMHYICRkg7kpt_d0/edit#gid=1892753874"",""Rekap KTR!$E$7"")"),47.0)</f>
        <v>47</v>
      </c>
      <c r="E15" s="104">
        <f>IFERROR(__xludf.DUMMYFUNCTION("IMPORTRANGE(""https://docs.google.com/spreadsheets/d/1zz70Lj6oBg1MOPSG6KJcsMeqBNtXMHYICRkg7kpt_d0/edit#gid=1892753874"",""Rekap KTR!$E$8"")"),29.0)</f>
        <v>29</v>
      </c>
      <c r="F15" s="104">
        <f>IFERROR(__xludf.DUMMYFUNCTION("IMPORTRANGE(""https://docs.google.com/spreadsheets/d/1zz70Lj6oBg1MOPSG6KJcsMeqBNtXMHYICRkg7kpt_d0/edit#gid=1892753874"",""Rekap KTR!$E$9"")"),3.0)</f>
        <v>3</v>
      </c>
      <c r="G15" s="104">
        <f>IFERROR(__xludf.DUMMYFUNCTION("IMPORTRANGE(""https://docs.google.com/spreadsheets/d/1zz70Lj6oBg1MOPSG6KJcsMeqBNtXMHYICRkg7kpt_d0/edit#gid=1892753874"",""Rekap KTR!$E$10"")"),1.0)</f>
        <v>1</v>
      </c>
      <c r="H15" s="104">
        <f>IFERROR(__xludf.DUMMYFUNCTION("IMPORTRANGE(""https://docs.google.com/spreadsheets/d/1zz70Lj6oBg1MOPSG6KJcsMeqBNtXMHYICRkg7kpt_d0/edit#gid=1892753874"",""Rekap KTR!$E$11"")"),4.0)</f>
        <v>4</v>
      </c>
      <c r="I15" s="104">
        <f>IFERROR(__xludf.DUMMYFUNCTION("IMPORTRANGE(""https://docs.google.com/spreadsheets/d/1zz70Lj6oBg1MOPSG6KJcsMeqBNtXMHYICRkg7kpt_d0/edit#gid=1892753874"",""Rekap KTR!$E$12"")"),4.0)</f>
        <v>4</v>
      </c>
    </row>
    <row r="16">
      <c r="B16" s="103" t="str">
        <f>'SPM-Uspro'!$C$17</f>
        <v>TRIBULAN 2</v>
      </c>
      <c r="C16" s="104">
        <f>IFERROR(__xludf.DUMMYFUNCTION("IMPORTRANGE(""https://docs.google.com/spreadsheets/d/1773f1iHRnXhbrVjAHR7zUpu3neZdvtp1a2ikB9LJu8U/edit#gid=1522333227"",""Rekap KTR!$E$6"")"),39.0)</f>
        <v>39</v>
      </c>
      <c r="D16" s="104">
        <f>IFERROR(__xludf.DUMMYFUNCTION("IMPORTRANGE(""https://docs.google.com/spreadsheets/d/1773f1iHRnXhbrVjAHR7zUpu3neZdvtp1a2ikB9LJu8U/edit#gid=1522333227"",""Rekap KTR!$E$7"")"),43.0)</f>
        <v>43</v>
      </c>
      <c r="E16" s="104">
        <f>IFERROR(__xludf.DUMMYFUNCTION("IMPORTRANGE(""https://docs.google.com/spreadsheets/d/1773f1iHRnXhbrVjAHR7zUpu3neZdvtp1a2ikB9LJu8U/edit#gid=1522333227"",""Rekap KTR!$E$8"")"),32.0)</f>
        <v>32</v>
      </c>
      <c r="F16" s="104">
        <f>IFERROR(__xludf.DUMMYFUNCTION("IMPORTRANGE(""https://docs.google.com/spreadsheets/d/1773f1iHRnXhbrVjAHR7zUpu3neZdvtp1a2ikB9LJu8U/edit#gid=1522333227"",""Rekap KTR!$E$9"")"),21.0)</f>
        <v>21</v>
      </c>
      <c r="G16" s="104">
        <f>IFERROR(__xludf.DUMMYFUNCTION("IMPORTRANGE(""https://docs.google.com/spreadsheets/d/1773f1iHRnXhbrVjAHR7zUpu3neZdvtp1a2ikB9LJu8U/edit#gid=1522333227"",""Rekap KTR!$E$10"")"),0.0)</f>
        <v>0</v>
      </c>
      <c r="H16" s="104">
        <f>IFERROR(__xludf.DUMMYFUNCTION("IMPORTRANGE(""https://docs.google.com/spreadsheets/d/1773f1iHRnXhbrVjAHR7zUpu3neZdvtp1a2ikB9LJu8U/edit#gid=1522333227"",""Rekap KTR!$E$11"")"),16.0)</f>
        <v>16</v>
      </c>
      <c r="I16" s="104">
        <f>IFERROR(__xludf.DUMMYFUNCTION("IMPORTRANGE(""https://docs.google.com/spreadsheets/d/1773f1iHRnXhbrVjAHR7zUpu3neZdvtp1a2ikB9LJu8U/edit#gid=1522333227"",""Rekap KTR!$E$12"")"),0.0)</f>
        <v>0</v>
      </c>
    </row>
    <row r="17">
      <c r="B17" s="103" t="str">
        <f>'SPM-Uspro'!$C$18</f>
        <v>JULI</v>
      </c>
      <c r="C17" s="104">
        <f>IFERROR(__xludf.DUMMYFUNCTION("IMPORTRANGE(""https://docs.google.com/spreadsheets/d/10iNzN1LqaStEosZKEbqcoOm3IdodNsG31q_nR0Y6WGo/edit#gid=1522333227"",""Rekap KTR!$E$6"")"),1.0)</f>
        <v>1</v>
      </c>
      <c r="D17" s="104">
        <f>IFERROR(__xludf.DUMMYFUNCTION("IMPORTRANGE(""https://docs.google.com/spreadsheets/d/10iNzN1LqaStEosZKEbqcoOm3IdodNsG31q_nR0Y6WGo/edit#gid=1522333227"",""Rekap KTR!$E$7"")"),24.0)</f>
        <v>24</v>
      </c>
      <c r="E17" s="104">
        <f>IFERROR(__xludf.DUMMYFUNCTION("IMPORTRANGE(""https://docs.google.com/spreadsheets/d/10iNzN1LqaStEosZKEbqcoOm3IdodNsG31q_nR0Y6WGo/edit#gid=1522333227"",""Rekap KTR!$E$8"")"),2.0)</f>
        <v>2</v>
      </c>
      <c r="F17" s="104">
        <f>IFERROR(__xludf.DUMMYFUNCTION("IMPORTRANGE(""https://docs.google.com/spreadsheets/d/10iNzN1LqaStEosZKEbqcoOm3IdodNsG31q_nR0Y6WGo/edit#gid=1522333227"",""Rekap KTR!$E$9"")"),3.0)</f>
        <v>3</v>
      </c>
      <c r="G17" s="104">
        <f>IFERROR(__xludf.DUMMYFUNCTION("IMPORTRANGE(""https://docs.google.com/spreadsheets/d/10iNzN1LqaStEosZKEbqcoOm3IdodNsG31q_nR0Y6WGo/edit#gid=1522333227"",""Rekap KTR!$E$10"")"),0.0)</f>
        <v>0</v>
      </c>
      <c r="H17" s="104">
        <f>IFERROR(__xludf.DUMMYFUNCTION("IMPORTRANGE(""https://docs.google.com/spreadsheets/d/10iNzN1LqaStEosZKEbqcoOm3IdodNsG31q_nR0Y6WGo/edit#gid=1522333227"",""Rekap KTR!$E$11"")"),2.0)</f>
        <v>2</v>
      </c>
      <c r="I17" s="104">
        <f>IFERROR(__xludf.DUMMYFUNCTION("IMPORTRANGE(""https://docs.google.com/spreadsheets/d/10iNzN1LqaStEosZKEbqcoOm3IdodNsG31q_nR0Y6WGo/edit#gid=1522333227"",""Rekap KTR!$E$12"")"),1.0)</f>
        <v>1</v>
      </c>
    </row>
    <row r="18">
      <c r="B18" s="103" t="str">
        <f>'SPM-Uspro'!$C$19</f>
        <v>AGUSTUS</v>
      </c>
      <c r="C18" s="104">
        <f>IFERROR(__xludf.DUMMYFUNCTION("IMPORTRANGE(""https://docs.google.com/spreadsheets/d/17PsIU8VcCQeO2M4DM42K9vv32GkafaaF1LxQevQ8tAQ/edit#gid=1892753874"",""Rekap KTR!$E$6"")"),2.0)</f>
        <v>2</v>
      </c>
      <c r="D18" s="104">
        <f>IFERROR(__xludf.DUMMYFUNCTION("IMPORTRANGE(""https://docs.google.com/spreadsheets/d/17PsIU8VcCQeO2M4DM42K9vv32GkafaaF1LxQevQ8tAQ/edit#gid=1892753874"",""Rekap KTR!$E$7"")"),21.0)</f>
        <v>21</v>
      </c>
      <c r="E18" s="104">
        <f>IFERROR(__xludf.DUMMYFUNCTION("IMPORTRANGE(""https://docs.google.com/spreadsheets/d/17PsIU8VcCQeO2M4DM42K9vv32GkafaaF1LxQevQ8tAQ/edit#gid=1892753874"",""Rekap KTR!$E$8"")"),17.0)</f>
        <v>17</v>
      </c>
      <c r="F18" s="104">
        <f>IFERROR(__xludf.DUMMYFUNCTION("IMPORTRANGE(""https://docs.google.com/spreadsheets/d/17PsIU8VcCQeO2M4DM42K9vv32GkafaaF1LxQevQ8tAQ/edit#gid=1892753874"",""Rekap KTR!$E$9"")"),0.0)</f>
        <v>0</v>
      </c>
      <c r="G18" s="104">
        <f>IFERROR(__xludf.DUMMYFUNCTION("IMPORTRANGE(""https://docs.google.com/spreadsheets/d/17PsIU8VcCQeO2M4DM42K9vv32GkafaaF1LxQevQ8tAQ/edit#gid=1892753874"",""Rekap KTR!$E$10"")"),0.0)</f>
        <v>0</v>
      </c>
      <c r="H18" s="104">
        <f>IFERROR(__xludf.DUMMYFUNCTION("IMPORTRANGE(""https://docs.google.com/spreadsheets/d/17PsIU8VcCQeO2M4DM42K9vv32GkafaaF1LxQevQ8tAQ/edit#gid=1892753874"",""Rekap KTR!$E$11"")"),0.0)</f>
        <v>0</v>
      </c>
      <c r="I18" s="104">
        <f>IFERROR(__xludf.DUMMYFUNCTION("IMPORTRANGE(""https://docs.google.com/spreadsheets/d/17PsIU8VcCQeO2M4DM42K9vv32GkafaaF1LxQevQ8tAQ/edit#gid=1892753874"",""Rekap KTR!$E$12"")"),0.0)</f>
        <v>0</v>
      </c>
    </row>
    <row r="19">
      <c r="B19" s="103" t="str">
        <f>'SPM-Uspro'!$C$20</f>
        <v>SEPTEMBER</v>
      </c>
      <c r="C19" s="104">
        <f>IFERROR(__xludf.DUMMYFUNCTION("IMPORTRANGE(""https://docs.google.com/spreadsheets/d/1d0Y9C6M4-a1TT0nIK2Gc4IXnbVyxoBB3v7o1biNGAwY/edit#gid=1892753874"",""Rekap KTR!$E$6"")"),6.0)</f>
        <v>6</v>
      </c>
      <c r="D19" s="104">
        <f>IFERROR(__xludf.DUMMYFUNCTION("IMPORTRANGE(""https://docs.google.com/spreadsheets/d/1d0Y9C6M4-a1TT0nIK2Gc4IXnbVyxoBB3v7o1biNGAwY/edit#gid=1892753874"",""Rekap KTR!$E$7"")"),27.0)</f>
        <v>27</v>
      </c>
      <c r="E19" s="104">
        <f>IFERROR(__xludf.DUMMYFUNCTION("IMPORTRANGE(""https://docs.google.com/spreadsheets/d/1d0Y9C6M4-a1TT0nIK2Gc4IXnbVyxoBB3v7o1biNGAwY/edit#gid=1892753874"",""Rekap KTR!$E$8"")"),7.0)</f>
        <v>7</v>
      </c>
      <c r="F19" s="104">
        <f>IFERROR(__xludf.DUMMYFUNCTION("IMPORTRANGE(""https://docs.google.com/spreadsheets/d/1d0Y9C6M4-a1TT0nIK2Gc4IXnbVyxoBB3v7o1biNGAwY/edit#gid=1892753874"",""Rekap KTR!$E$9"")"),0.0)</f>
        <v>0</v>
      </c>
      <c r="G19" s="104">
        <f>IFERROR(__xludf.DUMMYFUNCTION("IMPORTRANGE(""https://docs.google.com/spreadsheets/d/1d0Y9C6M4-a1TT0nIK2Gc4IXnbVyxoBB3v7o1biNGAwY/edit#gid=1892753874"",""Rekap KTR!$E$10"")"),0.0)</f>
        <v>0</v>
      </c>
      <c r="H19" s="104">
        <f>IFERROR(__xludf.DUMMYFUNCTION("IMPORTRANGE(""https://docs.google.com/spreadsheets/d/1d0Y9C6M4-a1TT0nIK2Gc4IXnbVyxoBB3v7o1biNGAwY/edit#gid=1892753874"",""Rekap KTR!$E$11"")"),0.0)</f>
        <v>0</v>
      </c>
      <c r="I19" s="104">
        <f>IFERROR(__xludf.DUMMYFUNCTION("IMPORTRANGE(""https://docs.google.com/spreadsheets/d/1d0Y9C6M4-a1TT0nIK2Gc4IXnbVyxoBB3v7o1biNGAwY/edit#gid=1892753874"",""Rekap KTR!$E$12"")"),0.0)</f>
        <v>0</v>
      </c>
    </row>
    <row r="20">
      <c r="B20" s="103" t="str">
        <f>'SPM-Uspro'!$C$21</f>
        <v>TRIBULAN 3</v>
      </c>
      <c r="C20" s="104">
        <f>IFERROR(__xludf.DUMMYFUNCTION("IMPORTRANGE(""https://docs.google.com/spreadsheets/d/1fXA1yQzUNddp7fjR2KF22o4rRJu9lP9Ja9Oi1mRbg_E/edit#gid=1892753874"",""Rekap KTR!$E$6"")"),2.0)</f>
        <v>2</v>
      </c>
      <c r="D20" s="104">
        <f>IFERROR(__xludf.DUMMYFUNCTION("IMPORTRANGE(""https://docs.google.com/spreadsheets/d/1fXA1yQzUNddp7fjR2KF22o4rRJu9lP9Ja9Oi1mRbg_E/edit#gid=1892753874"",""Rekap KTR!$E$7"")"),31.0)</f>
        <v>31</v>
      </c>
      <c r="E20" s="104">
        <f>IFERROR(__xludf.DUMMYFUNCTION("IMPORTRANGE(""https://docs.google.com/spreadsheets/d/1fXA1yQzUNddp7fjR2KF22o4rRJu9lP9Ja9Oi1mRbg_E/edit#gid=1892753874"",""Rekap KTR!$E$8"")"),29.0)</f>
        <v>29</v>
      </c>
      <c r="F20" s="104">
        <f>IFERROR(__xludf.DUMMYFUNCTION("IMPORTRANGE(""https://docs.google.com/spreadsheets/d/1fXA1yQzUNddp7fjR2KF22o4rRJu9lP9Ja9Oi1mRbg_E/edit#gid=1892753874"",""Rekap KTR!$E$9"")"),19.0)</f>
        <v>19</v>
      </c>
      <c r="G20" s="104">
        <f>IFERROR(__xludf.DUMMYFUNCTION("IMPORTRANGE(""https://docs.google.com/spreadsheets/d/1fXA1yQzUNddp7fjR2KF22o4rRJu9lP9Ja9Oi1mRbg_E/edit#gid=1892753874"",""Rekap KTR!$E$10"")"),1.0)</f>
        <v>1</v>
      </c>
      <c r="H20" s="104">
        <f>IFERROR(__xludf.DUMMYFUNCTION("IMPORTRANGE(""https://docs.google.com/spreadsheets/d/1fXA1yQzUNddp7fjR2KF22o4rRJu9lP9Ja9Oi1mRbg_E/edit#gid=1892753874"",""Rekap KTR!$E$11"")"),1.0)</f>
        <v>1</v>
      </c>
      <c r="I20" s="104">
        <f>IFERROR(__xludf.DUMMYFUNCTION("IMPORTRANGE(""https://docs.google.com/spreadsheets/d/1fXA1yQzUNddp7fjR2KF22o4rRJu9lP9Ja9Oi1mRbg_E/edit#gid=1892753874"",""Rekap KTR!$E$12"")"),1.0)</f>
        <v>1</v>
      </c>
    </row>
    <row r="21" ht="15.75" customHeight="1">
      <c r="B21" s="103" t="str">
        <f>'SPM-Uspro'!$C$22</f>
        <v>OKTOBER</v>
      </c>
      <c r="C21" s="104">
        <f>IFERROR(__xludf.DUMMYFUNCTION("IMPORTRANGE(""https://docs.google.com/spreadsheets/d/155aL1qCqCleHwMP0Y8LT5akEbK27R0RIka-lAkeoeEo/edit#gid=1892753874"",""Rekap KTR!$E$6"")"),10.0)</f>
        <v>10</v>
      </c>
      <c r="D21" s="104">
        <f>IFERROR(__xludf.DUMMYFUNCTION("IMPORTRANGE(""https://docs.google.com/spreadsheets/d/155aL1qCqCleHwMP0Y8LT5akEbK27R0RIka-lAkeoeEo/edit#gid=1892753874"",""Rekap KTR!$E$7"")"),47.0)</f>
        <v>47</v>
      </c>
      <c r="E21" s="104">
        <f>IFERROR(__xludf.DUMMYFUNCTION("IMPORTRANGE(""https://docs.google.com/spreadsheets/d/155aL1qCqCleHwMP0Y8LT5akEbK27R0RIka-lAkeoeEo/edit#gid=1892753874"",""Rekap KTR!$E$8"")"),5.0)</f>
        <v>5</v>
      </c>
      <c r="F21" s="104" t="str">
        <f>IFERROR(__xludf.DUMMYFUNCTION("IMPORTRANGE(""https://docs.google.com/spreadsheets/d/155aL1qCqCleHwMP0Y8LT5akEbK27R0RIka-lAkeoeEo/edit#gid=1892753874"",""Rekap KTR!$E$9"")"),"")</f>
        <v/>
      </c>
      <c r="G21" s="104" t="str">
        <f>IFERROR(__xludf.DUMMYFUNCTION("IMPORTRANGE(""https://docs.google.com/spreadsheets/d/155aL1qCqCleHwMP0Y8LT5akEbK27R0RIka-lAkeoeEo/edit#gid=1892753874"",""Rekap KTR!$E$10"")"),"")</f>
        <v/>
      </c>
      <c r="H21" s="104" t="str">
        <f>IFERROR(__xludf.DUMMYFUNCTION("IMPORTRANGE(""https://docs.google.com/spreadsheets/d/155aL1qCqCleHwMP0Y8LT5akEbK27R0RIka-lAkeoeEo/edit#gid=1892753874"",""Rekap KTR!$E$11"")"),"")</f>
        <v/>
      </c>
      <c r="I21" s="104" t="str">
        <f>IFERROR(__xludf.DUMMYFUNCTION("IMPORTRANGE(""https://docs.google.com/spreadsheets/d/155aL1qCqCleHwMP0Y8LT5akEbK27R0RIka-lAkeoeEo/edit#gid=1892753874"",""Rekap KTR!$E$12"")"),"")</f>
        <v/>
      </c>
    </row>
    <row r="22" ht="15.75" customHeight="1">
      <c r="B22" s="103" t="str">
        <f>'SPM-Uspro'!$C$23</f>
        <v>NOVEMBER</v>
      </c>
      <c r="C22" s="104">
        <f>IFERROR(__xludf.DUMMYFUNCTION("IMPORTRANGE(""https://docs.google.com/spreadsheets/d/13FRR1udp0c0o6Nmp_8YHiON78PXr-L4FqQQ028JcBYY/edit#gid=1522333227"",""Rekap KTR!$E$6"")"),7.0)</f>
        <v>7</v>
      </c>
      <c r="D22" s="104">
        <f>IFERROR(__xludf.DUMMYFUNCTION("IMPORTRANGE(""https://docs.google.com/spreadsheets/d/13FRR1udp0c0o6Nmp_8YHiON78PXr-L4FqQQ028JcBYY/edit#gid=1522333227"",""Rekap KTR!$E$7"")"),31.0)</f>
        <v>31</v>
      </c>
      <c r="E22" s="104">
        <f>IFERROR(__xludf.DUMMYFUNCTION("IMPORTRANGE(""https://docs.google.com/spreadsheets/d/13FRR1udp0c0o6Nmp_8YHiON78PXr-L4FqQQ028JcBYY/edit#gid=1522333227"",""Rekap KTR!$E$8"")"),2.0)</f>
        <v>2</v>
      </c>
      <c r="F22" s="104" t="str">
        <f>IFERROR(__xludf.DUMMYFUNCTION("IMPORTRANGE(""https://docs.google.com/spreadsheets/d/13FRR1udp0c0o6Nmp_8YHiON78PXr-L4FqQQ028JcBYY/edit#gid=1522333227"",""Rekap KTR!$E$9"")"),"")</f>
        <v/>
      </c>
      <c r="G22" s="104" t="str">
        <f>IFERROR(__xludf.DUMMYFUNCTION("IMPORTRANGE(""https://docs.google.com/spreadsheets/d/13FRR1udp0c0o6Nmp_8YHiON78PXr-L4FqQQ028JcBYY/edit#gid=1522333227"",""Rekap KTR!$E$10"")"),"")</f>
        <v/>
      </c>
      <c r="H22" s="104" t="str">
        <f>IFERROR(__xludf.DUMMYFUNCTION("IMPORTRANGE(""https://docs.google.com/spreadsheets/d/13FRR1udp0c0o6Nmp_8YHiON78PXr-L4FqQQ028JcBYY/edit#gid=1522333227"",""Rekap KTR!$E$11"")"),"")</f>
        <v/>
      </c>
      <c r="I22" s="104" t="str">
        <f>IFERROR(__xludf.DUMMYFUNCTION("IMPORTRANGE(""https://docs.google.com/spreadsheets/d/13FRR1udp0c0o6Nmp_8YHiON78PXr-L4FqQQ028JcBYY/edit#gid=1522333227"",""Rekap KTR!$E$12"")"),"")</f>
        <v/>
      </c>
    </row>
    <row r="23" ht="15.75" customHeight="1">
      <c r="B23" s="103" t="str">
        <f>'SPM-Uspro'!$C$24</f>
        <v>DESEMBER</v>
      </c>
      <c r="C23" s="104">
        <f>IFERROR(__xludf.DUMMYFUNCTION("IMPORTRANGE(""https://docs.google.com/spreadsheets/d/1PVwe4VvYfj1Vj424c9kO9TcQogsBM6TpXMbFve9togc/edit#gid=1522333227"",""Rekap KTR!$E$6"")"),5.0)</f>
        <v>5</v>
      </c>
      <c r="D23" s="104">
        <f>IFERROR(__xludf.DUMMYFUNCTION("IMPORTRANGE(""https://docs.google.com/spreadsheets/d/1PVwe4VvYfj1Vj424c9kO9TcQogsBM6TpXMbFve9togc/edit#gid=1522333227"",""Rekap KTR!$E$7"")"),38.0)</f>
        <v>38</v>
      </c>
      <c r="E23" s="104">
        <f>IFERROR(__xludf.DUMMYFUNCTION("IMPORTRANGE(""https://docs.google.com/spreadsheets/d/1PVwe4VvYfj1Vj424c9kO9TcQogsBM6TpXMbFve9togc/edit#gid=1522333227"",""Rekap KTR!$E$8"")"),17.0)</f>
        <v>17</v>
      </c>
      <c r="F23" s="104">
        <f>IFERROR(__xludf.DUMMYFUNCTION("IMPORTRANGE(""https://docs.google.com/spreadsheets/d/1PVwe4VvYfj1Vj424c9kO9TcQogsBM6TpXMbFve9togc/edit#gid=1522333227"",""Rekap KTR!$E$9"")"),0.0)</f>
        <v>0</v>
      </c>
      <c r="G23" s="104">
        <f>IFERROR(__xludf.DUMMYFUNCTION("IMPORTRANGE(""https://docs.google.com/spreadsheets/d/1PVwe4VvYfj1Vj424c9kO9TcQogsBM6TpXMbFve9togc/edit#gid=1522333227"",""Rekap KTR!$E$10"")"),0.0)</f>
        <v>0</v>
      </c>
      <c r="H23" s="104">
        <f>IFERROR(__xludf.DUMMYFUNCTION("IMPORTRANGE(""https://docs.google.com/spreadsheets/d/1PVwe4VvYfj1Vj424c9kO9TcQogsBM6TpXMbFve9togc/edit#gid=1522333227"",""Rekap KTR!$E$11"")"),0.0)</f>
        <v>0</v>
      </c>
      <c r="I23" s="104">
        <f>IFERROR(__xludf.DUMMYFUNCTION("IMPORTRANGE(""https://docs.google.com/spreadsheets/d/1PVwe4VvYfj1Vj424c9kO9TcQogsBM6TpXMbFve9togc/edit#gid=1522333227"",""Rekap KTR!$E$12"")"),0.0)</f>
        <v>0</v>
      </c>
    </row>
    <row r="24" ht="15.75" customHeight="1">
      <c r="B24" s="103" t="str">
        <f>'SPM-Uspro'!$C$25</f>
        <v>TRIBULAN 4</v>
      </c>
      <c r="C24" s="104" t="str">
        <f>IFERROR(__xludf.DUMMYFUNCTION("IMPORTRANGE(""https://docs.google.com/spreadsheets/d/15JUTNcWxWGx3Ha8qvwbxgnbDbT4v7N3vZYvqPZ68_Xg/edit#gid=1892753874"",""Rekap KTR!$E$6"")"),"")</f>
        <v/>
      </c>
      <c r="D24" s="104">
        <f>IFERROR(__xludf.DUMMYFUNCTION("IMPORTRANGE(""https://docs.google.com/spreadsheets/d/15JUTNcWxWGx3Ha8qvwbxgnbDbT4v7N3vZYvqPZ68_Xg/edit#gid=1892753874"",""Rekap KTR!$E$7"")"),19.0)</f>
        <v>19</v>
      </c>
      <c r="E24" s="104" t="str">
        <f>IFERROR(__xludf.DUMMYFUNCTION("IMPORTRANGE(""https://docs.google.com/spreadsheets/d/15JUTNcWxWGx3Ha8qvwbxgnbDbT4v7N3vZYvqPZ68_Xg/edit#gid=1892753874"",""Rekap KTR!$E$8"")"),"")</f>
        <v/>
      </c>
      <c r="F24" s="104" t="str">
        <f>IFERROR(__xludf.DUMMYFUNCTION("IMPORTRANGE(""https://docs.google.com/spreadsheets/d/15JUTNcWxWGx3Ha8qvwbxgnbDbT4v7N3vZYvqPZ68_Xg/edit#gid=1892753874"",""Rekap KTR!$E$9"")"),"")</f>
        <v/>
      </c>
      <c r="G24" s="104" t="str">
        <f>IFERROR(__xludf.DUMMYFUNCTION("IMPORTRANGE(""https://docs.google.com/spreadsheets/d/15JUTNcWxWGx3Ha8qvwbxgnbDbT4v7N3vZYvqPZ68_Xg/edit#gid=1892753874"",""Rekap KTR!$E$10"")"),"")</f>
        <v/>
      </c>
      <c r="H24" s="104" t="str">
        <f>IFERROR(__xludf.DUMMYFUNCTION("IMPORTRANGE(""https://docs.google.com/spreadsheets/d/15JUTNcWxWGx3Ha8qvwbxgnbDbT4v7N3vZYvqPZ68_Xg/edit#gid=1892753874"",""Rekap KTR!$E$11"")"),"")</f>
        <v/>
      </c>
      <c r="I24" s="104" t="str">
        <f>IFERROR(__xludf.DUMMYFUNCTION("IMPORTRANGE(""https://docs.google.com/spreadsheets/d/15JUTNcWxWGx3Ha8qvwbxgnbDbT4v7N3vZYvqPZ68_Xg/edit#gid=1892753874"",""Rekap KTR!$E$12"")"),"")</f>
        <v/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3"/>
    <mergeCell ref="A4:B4"/>
    <mergeCell ref="B6:B8"/>
    <mergeCell ref="C6:I6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16.67"/>
    <col customWidth="1" min="2" max="2" width="11.22"/>
    <col customWidth="1" min="3" max="3" width="11.78"/>
    <col customWidth="1" min="4" max="5" width="11.22"/>
    <col customWidth="1" min="6" max="6" width="12.33"/>
    <col customWidth="1" min="8" max="8" width="13.89"/>
    <col customWidth="1" min="9" max="9" width="13.56"/>
  </cols>
  <sheetData>
    <row r="1">
      <c r="A1" s="85" t="s">
        <v>31</v>
      </c>
      <c r="B1" s="86"/>
      <c r="C1" s="86"/>
      <c r="D1" s="105" t="s">
        <v>44</v>
      </c>
      <c r="E1" s="86"/>
      <c r="F1" s="86"/>
      <c r="G1" s="86"/>
      <c r="H1" s="86"/>
      <c r="I1" s="86"/>
      <c r="J1" s="86"/>
      <c r="K1" s="87"/>
      <c r="L1" s="88"/>
      <c r="M1" s="88"/>
      <c r="N1" s="88"/>
      <c r="O1" s="88"/>
      <c r="P1" s="88"/>
    </row>
    <row r="2">
      <c r="A2" s="89"/>
      <c r="D2" s="89"/>
      <c r="K2" s="87"/>
      <c r="L2" s="88"/>
      <c r="M2" s="88"/>
      <c r="N2" s="88"/>
      <c r="O2" s="88"/>
      <c r="P2" s="88"/>
    </row>
    <row r="3">
      <c r="A3" s="89"/>
      <c r="D3" s="89"/>
      <c r="K3" s="87"/>
      <c r="L3" s="88"/>
      <c r="M3" s="88"/>
      <c r="N3" s="88"/>
      <c r="O3" s="88"/>
      <c r="P3" s="88"/>
    </row>
    <row r="4" ht="24.75" customHeight="1">
      <c r="A4" s="91" t="s">
        <v>34</v>
      </c>
      <c r="B4" s="92"/>
      <c r="C4" s="92"/>
      <c r="D4" s="89"/>
      <c r="K4" s="87"/>
      <c r="L4" s="88"/>
      <c r="M4" s="88"/>
      <c r="N4" s="88"/>
      <c r="O4" s="88"/>
      <c r="P4" s="88"/>
    </row>
    <row r="6" ht="22.5" customHeight="1">
      <c r="A6" s="106" t="s">
        <v>45</v>
      </c>
      <c r="B6" s="20"/>
      <c r="C6" s="20"/>
      <c r="D6" s="20"/>
      <c r="E6" s="20"/>
      <c r="F6" s="20"/>
      <c r="G6" s="20"/>
      <c r="H6" s="20"/>
      <c r="I6" s="20"/>
      <c r="J6" s="96"/>
      <c r="K6" s="107"/>
      <c r="L6" s="107"/>
      <c r="M6" s="107"/>
      <c r="N6" s="107"/>
      <c r="O6" s="107"/>
      <c r="P6" s="107"/>
    </row>
    <row r="7">
      <c r="A7" s="108" t="s">
        <v>35</v>
      </c>
      <c r="B7" s="108" t="s">
        <v>46</v>
      </c>
      <c r="C7" s="108" t="s">
        <v>47</v>
      </c>
      <c r="D7" s="108" t="s">
        <v>48</v>
      </c>
      <c r="E7" s="109" t="s">
        <v>49</v>
      </c>
      <c r="F7" s="109" t="s">
        <v>50</v>
      </c>
      <c r="G7" s="109" t="s">
        <v>51</v>
      </c>
      <c r="H7" s="110" t="s">
        <v>52</v>
      </c>
      <c r="I7" s="110" t="s">
        <v>53</v>
      </c>
      <c r="J7" s="110" t="s">
        <v>54</v>
      </c>
    </row>
    <row r="8" ht="15.0" customHeight="1">
      <c r="A8" s="98"/>
      <c r="B8" s="98"/>
      <c r="C8" s="98"/>
      <c r="D8" s="98"/>
      <c r="E8" s="98"/>
      <c r="F8" s="98"/>
      <c r="G8" s="98"/>
      <c r="H8" s="98"/>
      <c r="I8" s="98"/>
      <c r="J8" s="98"/>
    </row>
    <row r="9">
      <c r="A9" s="100"/>
      <c r="B9" s="100"/>
      <c r="C9" s="100"/>
      <c r="D9" s="100"/>
      <c r="E9" s="100"/>
      <c r="F9" s="100"/>
      <c r="G9" s="100"/>
      <c r="H9" s="100"/>
      <c r="I9" s="100"/>
      <c r="J9" s="100"/>
    </row>
    <row r="10">
      <c r="A10" s="103" t="str">
        <f>'SPM-Uspro'!$C$10</f>
        <v>JANUARI</v>
      </c>
      <c r="B10" s="104">
        <f>IFERROR(__xludf.DUMMYFUNCTION("IMPORTRANGE(""https://docs.google.com/spreadsheets/d/1P0UTisakTE5EAx-MYEjY2DmhSnLNqqRm6P3NrlYXL2I/edit#gid=1892753874"",""Rekap UBM!$B$9"")"),1.0)</f>
        <v>1</v>
      </c>
      <c r="C10" s="104">
        <f>IFERROR(__xludf.DUMMYFUNCTION("IMPORTRANGE(""https://docs.google.com/spreadsheets/d/1P0UTisakTE5EAx-MYEjY2DmhSnLNqqRm6P3NrlYXL2I/edit#gid=1892753874"",""Rekap UBM!$C$9"")"),1.0)</f>
        <v>1</v>
      </c>
      <c r="D10" s="111">
        <f t="shared" ref="D10:D25" si="1">C10/B10*100</f>
        <v>100</v>
      </c>
      <c r="E10" s="104" t="str">
        <f>IFERROR(__xludf.DUMMYFUNCTION("IMPORTRANGE(""https://docs.google.com/spreadsheets/d/1P0UTisakTE5EAx-MYEjY2DmhSnLNqqRm6P3NrlYXL2I/edit#gid=1892753874"",""Rekap UBM!$E$9"")"),"")</f>
        <v/>
      </c>
      <c r="F10" s="104" t="str">
        <f>IFERROR(__xludf.DUMMYFUNCTION("IMPORTRANGE(""https://docs.google.com/spreadsheets/d/1P0UTisakTE5EAx-MYEjY2DmhSnLNqqRm6P3NrlYXL2I/edit#gid=1892753874"",""Rekap UBM!$F$9"")"),"")</f>
        <v/>
      </c>
      <c r="G10" s="111" t="str">
        <f t="shared" ref="G10:G25" si="2">F10/E10*100</f>
        <v>#DIV/0!</v>
      </c>
      <c r="H10" s="104" t="str">
        <f>IFERROR(__xludf.DUMMYFUNCTION("IMPORTRANGE(""https://docs.google.com/spreadsheets/d/1P0UTisakTE5EAx-MYEjY2DmhSnLNqqRm6P3NrlYXL2I/edit#gid=1892753874"",""Rekap UBM!$H$9"")"),"")</f>
        <v/>
      </c>
      <c r="I10" s="104" t="str">
        <f>IFERROR(__xludf.DUMMYFUNCTION("IMPORTRANGE(""https://docs.google.com/spreadsheets/d/1P0UTisakTE5EAx-MYEjY2DmhSnLNqqRm6P3NrlYXL2I/edit#gid=1892753874"",""Rekap UBM!$I$9"")"),"")</f>
        <v/>
      </c>
      <c r="J10" s="111" t="str">
        <f t="shared" ref="J10:J25" si="3">I10/H10*100</f>
        <v>#DIV/0!</v>
      </c>
    </row>
    <row r="11">
      <c r="A11" s="103" t="str">
        <f>'SPM-Uspro'!$C$11</f>
        <v>FEBRUARI</v>
      </c>
      <c r="B11" s="104">
        <f>IFERROR(__xludf.DUMMYFUNCTION("IMPORTRANGE(""https://docs.google.com/spreadsheets/d/1jB-UnyPBzGq1HOZkIVtft_Wo28OEKcZNsVgS5r_boTE/edit#gid=1522333227"",""Rekap UBM!$B$9"")"),1.0)</f>
        <v>1</v>
      </c>
      <c r="C11" s="104">
        <f>IFERROR(__xludf.DUMMYFUNCTION("IMPORTRANGE(""https://docs.google.com/spreadsheets/d/1jB-UnyPBzGq1HOZkIVtft_Wo28OEKcZNsVgS5r_boTE/edit#gid=1522333227"",""Rekap UBM!$C$9"")"),1.0)</f>
        <v>1</v>
      </c>
      <c r="D11" s="111">
        <f t="shared" si="1"/>
        <v>100</v>
      </c>
      <c r="E11" s="104">
        <f>IFERROR(__xludf.DUMMYFUNCTION("IMPORTRANGE(""https://docs.google.com/spreadsheets/d/1jB-UnyPBzGq1HOZkIVtft_Wo28OEKcZNsVgS5r_boTE/edit#gid=1522333227"",""Rekap UBM!$E$9"")"),12.0)</f>
        <v>12</v>
      </c>
      <c r="F11" s="112">
        <f>IFERROR(__xludf.DUMMYFUNCTION("IMPORTRANGE(""https://docs.google.com/spreadsheets/d/1jB-UnyPBzGq1HOZkIVtft_Wo28OEKcZNsVgS5r_boTE/edit#gid=1522333227"",""Rekap UBM!$F$9"")"),12.0)</f>
        <v>12</v>
      </c>
      <c r="G11" s="111">
        <f t="shared" si="2"/>
        <v>100</v>
      </c>
      <c r="H11" s="112" t="str">
        <f>IFERROR(__xludf.DUMMYFUNCTION("IMPORTRANGE(""https://docs.google.com/spreadsheets/d/1jB-UnyPBzGq1HOZkIVtft_Wo28OEKcZNsVgS5r_boTE/edit#gid=1522333227"",""Rekap UBM!$H$9"")"),"")</f>
        <v/>
      </c>
      <c r="I11" s="112" t="str">
        <f>IFERROR(__xludf.DUMMYFUNCTION("IMPORTRANGE(""https://docs.google.com/spreadsheets/d/1jB-UnyPBzGq1HOZkIVtft_Wo28OEKcZNsVgS5r_boTE/edit#gid=1522333227"",""Rekap UBM!$I$9"")"),"")</f>
        <v/>
      </c>
      <c r="J11" s="111" t="str">
        <f t="shared" si="3"/>
        <v>#DIV/0!</v>
      </c>
    </row>
    <row r="12">
      <c r="A12" s="103" t="str">
        <f>'SPM-Uspro'!$C$12</f>
        <v>MARET</v>
      </c>
      <c r="B12" s="104">
        <f>IFERROR(__xludf.DUMMYFUNCTION("IMPORTRANGE(""https://docs.google.com/spreadsheets/d/1gHFrRpJ5fnyxfJI-jxT5z1B1L7rSV8E5sIZEN90Rfhc/edit#gid=1522333227"",""Rekap UBM!$B$9"")"),1.0)</f>
        <v>1</v>
      </c>
      <c r="C12" s="104">
        <f>IFERROR(__xludf.DUMMYFUNCTION("IMPORTRANGE(""https://docs.google.com/spreadsheets/d/1gHFrRpJ5fnyxfJI-jxT5z1B1L7rSV8E5sIZEN90Rfhc/edit#gid=1522333227"",""Rekap UBM!$C$9"")"),1.0)</f>
        <v>1</v>
      </c>
      <c r="D12" s="111">
        <f t="shared" si="1"/>
        <v>100</v>
      </c>
      <c r="E12" s="104">
        <f>IFERROR(__xludf.DUMMYFUNCTION("IMPORTRANGE(""https://docs.google.com/spreadsheets/d/1gHFrRpJ5fnyxfJI-jxT5z1B1L7rSV8E5sIZEN90Rfhc/edit#gid=1522333227"",""Rekap UBM!$E$9"")"),3.0)</f>
        <v>3</v>
      </c>
      <c r="F12" s="112">
        <f>IFERROR(__xludf.DUMMYFUNCTION("IMPORTRANGE(""https://docs.google.com/spreadsheets/d/1gHFrRpJ5fnyxfJI-jxT5z1B1L7rSV8E5sIZEN90Rfhc/edit#gid=1522333227"",""Rekap UBM!$F$9"")"),3.0)</f>
        <v>3</v>
      </c>
      <c r="G12" s="111">
        <f t="shared" si="2"/>
        <v>100</v>
      </c>
      <c r="H12" s="112">
        <f>IFERROR(__xludf.DUMMYFUNCTION("IMPORTRANGE(""https://docs.google.com/spreadsheets/d/1gHFrRpJ5fnyxfJI-jxT5z1B1L7rSV8E5sIZEN90Rfhc/edit#gid=1522333227"",""Rekap UBM!$H$9"")"),6.0)</f>
        <v>6</v>
      </c>
      <c r="I12" s="112">
        <f>IFERROR(__xludf.DUMMYFUNCTION("IMPORTRANGE(""https://docs.google.com/spreadsheets/d/1gHFrRpJ5fnyxfJI-jxT5z1B1L7rSV8E5sIZEN90Rfhc/edit#gid=1522333227"",""Rekap UBM!$I$9"")"),6.0)</f>
        <v>6</v>
      </c>
      <c r="J12" s="111">
        <f t="shared" si="3"/>
        <v>100</v>
      </c>
    </row>
    <row r="13">
      <c r="A13" s="103" t="str">
        <f>'SPM-Uspro'!$C$13</f>
        <v>TRIBULAN 1</v>
      </c>
      <c r="B13" s="104">
        <f>IFERROR(__xludf.DUMMYFUNCTION("IMPORTRANGE(""https://docs.google.com/spreadsheets/d/1saC2UP2JuYJ7WRPxjh8EMf_BSfGZ18Ous8sVKGLr-Ng/edit#gid=1892753874"",""Rekap UBM!$B$9"")"),1.0)</f>
        <v>1</v>
      </c>
      <c r="C13" s="104">
        <f>IFERROR(__xludf.DUMMYFUNCTION("IMPORTRANGE(""https://docs.google.com/spreadsheets/d/1saC2UP2JuYJ7WRPxjh8EMf_BSfGZ18Ous8sVKGLr-Ng/edit#gid=1892753874"",""Rekap UBM!$C$9"")"),1.0)</f>
        <v>1</v>
      </c>
      <c r="D13" s="111">
        <f t="shared" si="1"/>
        <v>100</v>
      </c>
      <c r="E13" s="104">
        <f>IFERROR(__xludf.DUMMYFUNCTION("IMPORTRANGE(""https://docs.google.com/spreadsheets/d/1saC2UP2JuYJ7WRPxjh8EMf_BSfGZ18Ous8sVKGLr-Ng/edit#gid=1892753874"",""Rekap UBM!$E$9"")"),3.0)</f>
        <v>3</v>
      </c>
      <c r="F13" s="112">
        <f>IFERROR(__xludf.DUMMYFUNCTION("IMPORTRANGE(""https://docs.google.com/spreadsheets/d/1saC2UP2JuYJ7WRPxjh8EMf_BSfGZ18Ous8sVKGLr-Ng/edit#gid=1892753874"",""Rekap UBM!$F$9"")"),0.0)</f>
        <v>0</v>
      </c>
      <c r="G13" s="111">
        <f t="shared" si="2"/>
        <v>0</v>
      </c>
      <c r="H13" s="112">
        <f>IFERROR(__xludf.DUMMYFUNCTION("IMPORTRANGE(""https://docs.google.com/spreadsheets/d/1saC2UP2JuYJ7WRPxjh8EMf_BSfGZ18Ous8sVKGLr-Ng/edit#gid=1892753874"",""Rekap UBM!$H$9"")"),5.0)</f>
        <v>5</v>
      </c>
      <c r="I13" s="112">
        <f>IFERROR(__xludf.DUMMYFUNCTION("IMPORTRANGE(""https://docs.google.com/spreadsheets/d/1saC2UP2JuYJ7WRPxjh8EMf_BSfGZ18Ous8sVKGLr-Ng/edit#gid=1892753874"",""Rekap UBM!$I$9"")"),0.0)</f>
        <v>0</v>
      </c>
      <c r="J13" s="111">
        <f t="shared" si="3"/>
        <v>0</v>
      </c>
    </row>
    <row r="14">
      <c r="A14" s="103" t="str">
        <f>'SPM-Uspro'!$C$14</f>
        <v>APRIL</v>
      </c>
      <c r="B14" s="104">
        <f>IFERROR(__xludf.DUMMYFUNCTION("IMPORTRANGE(""https://docs.google.com/spreadsheets/d/1ApPPV7RPuDI1EDOKjkoDXkV5Yd_NofeQTYTtAHUYGGw/edit#gid=1522333227"",""Rekap UBM!$B$9"")"),1.0)</f>
        <v>1</v>
      </c>
      <c r="C14" s="104">
        <f>IFERROR(__xludf.DUMMYFUNCTION("IMPORTRANGE(""https://docs.google.com/spreadsheets/d/1ApPPV7RPuDI1EDOKjkoDXkV5Yd_NofeQTYTtAHUYGGw/edit#gid=1522333227"",""Rekap UBM!$C$9"")"),1.0)</f>
        <v>1</v>
      </c>
      <c r="D14" s="111">
        <f t="shared" si="1"/>
        <v>100</v>
      </c>
      <c r="E14" s="104" t="str">
        <f>IFERROR(__xludf.DUMMYFUNCTION("IMPORTRANGE(""https://docs.google.com/spreadsheets/d/1ApPPV7RPuDI1EDOKjkoDXkV5Yd_NofeQTYTtAHUYGGw/edit#gid=1522333227"",""Rekap UBM!$E$9"")"),"")</f>
        <v/>
      </c>
      <c r="F14" s="112" t="str">
        <f>IFERROR(__xludf.DUMMYFUNCTION("IMPORTRANGE(""https://docs.google.com/spreadsheets/d/1ApPPV7RPuDI1EDOKjkoDXkV5Yd_NofeQTYTtAHUYGGw/edit#gid=1522333227"",""Rekap UBM!$F$9"")"),"")</f>
        <v/>
      </c>
      <c r="G14" s="111" t="str">
        <f t="shared" si="2"/>
        <v>#DIV/0!</v>
      </c>
      <c r="H14" s="112" t="str">
        <f>IFERROR(__xludf.DUMMYFUNCTION("IMPORTRANGE(""https://docs.google.com/spreadsheets/d/1ApPPV7RPuDI1EDOKjkoDXkV5Yd_NofeQTYTtAHUYGGw/edit#gid=1522333227"",""Rekap UBM!$H$9"")"),"")</f>
        <v/>
      </c>
      <c r="I14" s="112" t="str">
        <f>IFERROR(__xludf.DUMMYFUNCTION("IMPORTRANGE(""https://docs.google.com/spreadsheets/d/1ApPPV7RPuDI1EDOKjkoDXkV5Yd_NofeQTYTtAHUYGGw/edit#gid=1522333227"",""Rekap UBM!$I$9"")"),"")</f>
        <v/>
      </c>
      <c r="J14" s="111" t="str">
        <f t="shared" si="3"/>
        <v>#DIV/0!</v>
      </c>
    </row>
    <row r="15">
      <c r="A15" s="103" t="str">
        <f>'SPM-Uspro'!$C$15</f>
        <v>MEI</v>
      </c>
      <c r="B15" s="104">
        <f>IFERROR(__xludf.DUMMYFUNCTION("IMPORTRANGE(""https://docs.google.com/spreadsheets/d/1iV_nqIfkAdyO_vl_QARxWbfnGcK2KlCCS94aVJ2QbTI/edit#gid=1522333227"",""Rekap UBM!$B$9"")"),1.0)</f>
        <v>1</v>
      </c>
      <c r="C15" s="104">
        <f>IFERROR(__xludf.DUMMYFUNCTION("IMPORTRANGE(""https://docs.google.com/spreadsheets/d/1iV_nqIfkAdyO_vl_QARxWbfnGcK2KlCCS94aVJ2QbTI/edit#gid=1522333227"",""Rekap UBM!$C$9"")"),1.0)</f>
        <v>1</v>
      </c>
      <c r="D15" s="111">
        <f t="shared" si="1"/>
        <v>100</v>
      </c>
      <c r="E15" s="104" t="str">
        <f>IFERROR(__xludf.DUMMYFUNCTION("IMPORTRANGE(""https://docs.google.com/spreadsheets/d/1iV_nqIfkAdyO_vl_QARxWbfnGcK2KlCCS94aVJ2QbTI/edit#gid=1522333227"",""Rekap UBM!$E$9"")"),"")</f>
        <v/>
      </c>
      <c r="F15" s="112" t="str">
        <f>IFERROR(__xludf.DUMMYFUNCTION("IMPORTRANGE(""https://docs.google.com/spreadsheets/d/1iV_nqIfkAdyO_vl_QARxWbfnGcK2KlCCS94aVJ2QbTI/edit#gid=1522333227"",""Rekap UBM!$F$9"")"),"")</f>
        <v/>
      </c>
      <c r="G15" s="111" t="str">
        <f t="shared" si="2"/>
        <v>#DIV/0!</v>
      </c>
      <c r="H15" s="112" t="str">
        <f>IFERROR(__xludf.DUMMYFUNCTION("IMPORTRANGE(""https://docs.google.com/spreadsheets/d/1iV_nqIfkAdyO_vl_QARxWbfnGcK2KlCCS94aVJ2QbTI/edit#gid=1522333227"",""Rekap UBM!$H$9"")"),"")</f>
        <v/>
      </c>
      <c r="I15" s="112" t="str">
        <f>IFERROR(__xludf.DUMMYFUNCTION("IMPORTRANGE(""https://docs.google.com/spreadsheets/d/1iV_nqIfkAdyO_vl_QARxWbfnGcK2KlCCS94aVJ2QbTI/edit#gid=1522333227"",""Rekap UBM!$I$9"")"),"")</f>
        <v/>
      </c>
      <c r="J15" s="111" t="str">
        <f t="shared" si="3"/>
        <v>#DIV/0!</v>
      </c>
    </row>
    <row r="16">
      <c r="A16" s="103" t="str">
        <f>'SPM-Uspro'!$C$16</f>
        <v>JUNI</v>
      </c>
      <c r="B16" s="104">
        <f>IFERROR(__xludf.DUMMYFUNCTION("IMPORTRANGE(""https://docs.google.com/spreadsheets/d/1zz70Lj6oBg1MOPSG6KJcsMeqBNtXMHYICRkg7kpt_d0/edit#gid=1892753874"",""Rekap UBM!$B$9"")"),1.0)</f>
        <v>1</v>
      </c>
      <c r="C16" s="104">
        <f>IFERROR(__xludf.DUMMYFUNCTION("IMPORTRANGE(""https://docs.google.com/spreadsheets/d/1zz70Lj6oBg1MOPSG6KJcsMeqBNtXMHYICRkg7kpt_d0/edit#gid=1892753874"",""Rekap UBM!$C$9"")"),1.0)</f>
        <v>1</v>
      </c>
      <c r="D16" s="111">
        <f t="shared" si="1"/>
        <v>100</v>
      </c>
      <c r="E16" s="104">
        <f>IFERROR(__xludf.DUMMYFUNCTION("IMPORTRANGE(""https://docs.google.com/spreadsheets/d/1zz70Lj6oBg1MOPSG6KJcsMeqBNtXMHYICRkg7kpt_d0/edit#gid=1892753874"",""Rekap UBM!$E$9"")"),3.0)</f>
        <v>3</v>
      </c>
      <c r="F16" s="112">
        <f>IFERROR(__xludf.DUMMYFUNCTION("IMPORTRANGE(""https://docs.google.com/spreadsheets/d/1zz70Lj6oBg1MOPSG6KJcsMeqBNtXMHYICRkg7kpt_d0/edit#gid=1892753874"",""Rekap UBM!$F$9"")"),3.0)</f>
        <v>3</v>
      </c>
      <c r="G16" s="111">
        <f t="shared" si="2"/>
        <v>100</v>
      </c>
      <c r="H16" s="112">
        <f>IFERROR(__xludf.DUMMYFUNCTION("IMPORTRANGE(""https://docs.google.com/spreadsheets/d/1zz70Lj6oBg1MOPSG6KJcsMeqBNtXMHYICRkg7kpt_d0/edit#gid=1892753874"",""Rekap UBM!$H$9"")"),3.0)</f>
        <v>3</v>
      </c>
      <c r="I16" s="112">
        <f>IFERROR(__xludf.DUMMYFUNCTION("IMPORTRANGE(""https://docs.google.com/spreadsheets/d/1zz70Lj6oBg1MOPSG6KJcsMeqBNtXMHYICRkg7kpt_d0/edit#gid=1892753874"",""Rekap UBM!$I$9"")"),3.0)</f>
        <v>3</v>
      </c>
      <c r="J16" s="111">
        <f t="shared" si="3"/>
        <v>100</v>
      </c>
    </row>
    <row r="17">
      <c r="A17" s="103" t="str">
        <f>'SPM-Uspro'!$C$17</f>
        <v>TRIBULAN 2</v>
      </c>
      <c r="B17" s="104">
        <f>IFERROR(__xludf.DUMMYFUNCTION("IMPORTRANGE(""https://docs.google.com/spreadsheets/d/1773f1iHRnXhbrVjAHR7zUpu3neZdvtp1a2ikB9LJu8U/edit#gid=1522333227"",""Rekap UBM!$B$9"")"),1.0)</f>
        <v>1</v>
      </c>
      <c r="C17" s="104">
        <f>IFERROR(__xludf.DUMMYFUNCTION("IMPORTRANGE(""https://docs.google.com/spreadsheets/d/1773f1iHRnXhbrVjAHR7zUpu3neZdvtp1a2ikB9LJu8U/edit#gid=1522333227"",""Rekap UBM!$C$9"")"),1.0)</f>
        <v>1</v>
      </c>
      <c r="D17" s="111">
        <f t="shared" si="1"/>
        <v>100</v>
      </c>
      <c r="E17" s="104">
        <f>IFERROR(__xludf.DUMMYFUNCTION("IMPORTRANGE(""https://docs.google.com/spreadsheets/d/1773f1iHRnXhbrVjAHR7zUpu3neZdvtp1a2ikB9LJu8U/edit#gid=1522333227"",""Rekap UBM!$E$9"")"),13.0)</f>
        <v>13</v>
      </c>
      <c r="F17" s="112">
        <f>IFERROR(__xludf.DUMMYFUNCTION("IMPORTRANGE(""https://docs.google.com/spreadsheets/d/1773f1iHRnXhbrVjAHR7zUpu3neZdvtp1a2ikB9LJu8U/edit#gid=1522333227"",""Rekap UBM!$F$9"")"),13.0)</f>
        <v>13</v>
      </c>
      <c r="G17" s="111">
        <f t="shared" si="2"/>
        <v>100</v>
      </c>
      <c r="H17" s="112">
        <f>IFERROR(__xludf.DUMMYFUNCTION("IMPORTRANGE(""https://docs.google.com/spreadsheets/d/1773f1iHRnXhbrVjAHR7zUpu3neZdvtp1a2ikB9LJu8U/edit#gid=1522333227"",""Rekap UBM!$H$9"")"),1.0)</f>
        <v>1</v>
      </c>
      <c r="I17" s="112">
        <f>IFERROR(__xludf.DUMMYFUNCTION("IMPORTRANGE(""https://docs.google.com/spreadsheets/d/1773f1iHRnXhbrVjAHR7zUpu3neZdvtp1a2ikB9LJu8U/edit#gid=1522333227"",""Rekap UBM!$I$9"")"),1.0)</f>
        <v>1</v>
      </c>
      <c r="J17" s="111">
        <f t="shared" si="3"/>
        <v>100</v>
      </c>
    </row>
    <row r="18">
      <c r="A18" s="103" t="str">
        <f>'SPM-Uspro'!$C$18</f>
        <v>JULI</v>
      </c>
      <c r="B18" s="104">
        <f>IFERROR(__xludf.DUMMYFUNCTION("IMPORTRANGE(""https://docs.google.com/spreadsheets/d/10iNzN1LqaStEosZKEbqcoOm3IdodNsG31q_nR0Y6WGo/edit#gid=1522333227"",""Rekap UBM!$B$9"")"),1.0)</f>
        <v>1</v>
      </c>
      <c r="C18" s="104">
        <f>IFERROR(__xludf.DUMMYFUNCTION("IMPORTRANGE(""https://docs.google.com/spreadsheets/d/10iNzN1LqaStEosZKEbqcoOm3IdodNsG31q_nR0Y6WGo/edit#gid=1522333227"",""Rekap UBM!$C$9"")"),1.0)</f>
        <v>1</v>
      </c>
      <c r="D18" s="111">
        <f t="shared" si="1"/>
        <v>100</v>
      </c>
      <c r="E18" s="104" t="str">
        <f>IFERROR(__xludf.DUMMYFUNCTION("IMPORTRANGE(""https://docs.google.com/spreadsheets/d/10iNzN1LqaStEosZKEbqcoOm3IdodNsG31q_nR0Y6WGo/edit#gid=1522333227"",""Rekap UBM!$E$9"")"),"")</f>
        <v/>
      </c>
      <c r="F18" s="112" t="str">
        <f>IFERROR(__xludf.DUMMYFUNCTION("IMPORTRANGE(""https://docs.google.com/spreadsheets/d/10iNzN1LqaStEosZKEbqcoOm3IdodNsG31q_nR0Y6WGo/edit#gid=1522333227"",""Rekap UBM!$F$9"")"),"")</f>
        <v/>
      </c>
      <c r="G18" s="111" t="str">
        <f t="shared" si="2"/>
        <v>#DIV/0!</v>
      </c>
      <c r="H18" s="112" t="str">
        <f>IFERROR(__xludf.DUMMYFUNCTION("IMPORTRANGE(""https://docs.google.com/spreadsheets/d/10iNzN1LqaStEosZKEbqcoOm3IdodNsG31q_nR0Y6WGo/edit#gid=1522333227"",""Rekap UBM!$H$9"")"),"")</f>
        <v/>
      </c>
      <c r="I18" s="112" t="str">
        <f>IFERROR(__xludf.DUMMYFUNCTION("IMPORTRANGE(""https://docs.google.com/spreadsheets/d/10iNzN1LqaStEosZKEbqcoOm3IdodNsG31q_nR0Y6WGo/edit#gid=1522333227"",""Rekap UBM!$I$9"")"),"")</f>
        <v/>
      </c>
      <c r="J18" s="111" t="str">
        <f t="shared" si="3"/>
        <v>#DIV/0!</v>
      </c>
    </row>
    <row r="19">
      <c r="A19" s="103" t="str">
        <f>'SPM-Uspro'!$C$19</f>
        <v>AGUSTUS</v>
      </c>
      <c r="B19" s="104">
        <f>IFERROR(__xludf.DUMMYFUNCTION("IMPORTRANGE(""https://docs.google.com/spreadsheets/d/17PsIU8VcCQeO2M4DM42K9vv32GkafaaF1LxQevQ8tAQ/edit#gid=1892753874"",""Rekap UBM!$B$9"")"),1.0)</f>
        <v>1</v>
      </c>
      <c r="C19" s="104">
        <f>IFERROR(__xludf.DUMMYFUNCTION("IMPORTRANGE(""https://docs.google.com/spreadsheets/d/17PsIU8VcCQeO2M4DM42K9vv32GkafaaF1LxQevQ8tAQ/edit#gid=1892753874"",""Rekap UBM!$C$9"")"),0.0)</f>
        <v>0</v>
      </c>
      <c r="D19" s="111">
        <f t="shared" si="1"/>
        <v>0</v>
      </c>
      <c r="E19" s="104" t="str">
        <f>IFERROR(__xludf.DUMMYFUNCTION("IMPORTRANGE(""https://docs.google.com/spreadsheets/d/17PsIU8VcCQeO2M4DM42K9vv32GkafaaF1LxQevQ8tAQ/edit#gid=1892753874"",""Rekap UBM!$E$9"")"),"")</f>
        <v/>
      </c>
      <c r="F19" s="112" t="str">
        <f>IFERROR(__xludf.DUMMYFUNCTION("IMPORTRANGE(""https://docs.google.com/spreadsheets/d/17PsIU8VcCQeO2M4DM42K9vv32GkafaaF1LxQevQ8tAQ/edit#gid=1892753874"",""Rekap UBM!$F$9"")"),"")</f>
        <v/>
      </c>
      <c r="G19" s="111" t="str">
        <f t="shared" si="2"/>
        <v>#DIV/0!</v>
      </c>
      <c r="H19" s="112" t="str">
        <f>IFERROR(__xludf.DUMMYFUNCTION("IMPORTRANGE(""https://docs.google.com/spreadsheets/d/17PsIU8VcCQeO2M4DM42K9vv32GkafaaF1LxQevQ8tAQ/edit#gid=1892753874"",""Rekap UBM!$H$9"")"),"")</f>
        <v/>
      </c>
      <c r="I19" s="112" t="str">
        <f>IFERROR(__xludf.DUMMYFUNCTION("IMPORTRANGE(""https://docs.google.com/spreadsheets/d/17PsIU8VcCQeO2M4DM42K9vv32GkafaaF1LxQevQ8tAQ/edit#gid=1892753874"",""Rekap UBM!$I$9"")"),"")</f>
        <v/>
      </c>
      <c r="J19" s="111" t="str">
        <f t="shared" si="3"/>
        <v>#DIV/0!</v>
      </c>
    </row>
    <row r="20">
      <c r="A20" s="103" t="str">
        <f>'SPM-Uspro'!$C$20</f>
        <v>SEPTEMBER</v>
      </c>
      <c r="B20" s="104">
        <f>IFERROR(__xludf.DUMMYFUNCTION("IMPORTRANGE(""https://docs.google.com/spreadsheets/d/1d0Y9C6M4-a1TT0nIK2Gc4IXnbVyxoBB3v7o1biNGAwY/edit#gid=1892753874"",""Rekap UBM!$B$9"")"),1.0)</f>
        <v>1</v>
      </c>
      <c r="C20" s="104">
        <f>IFERROR(__xludf.DUMMYFUNCTION("IMPORTRANGE(""https://docs.google.com/spreadsheets/d/1d0Y9C6M4-a1TT0nIK2Gc4IXnbVyxoBB3v7o1biNGAwY/edit#gid=1892753874"",""Rekap UBM!$C$9"")"),1.0)</f>
        <v>1</v>
      </c>
      <c r="D20" s="111">
        <f t="shared" si="1"/>
        <v>100</v>
      </c>
      <c r="E20" s="104">
        <f>IFERROR(__xludf.DUMMYFUNCTION("IMPORTRANGE(""https://docs.google.com/spreadsheets/d/1d0Y9C6M4-a1TT0nIK2Gc4IXnbVyxoBB3v7o1biNGAwY/edit#gid=1892753874"",""Rekap UBM!$E$9"")"),6.0)</f>
        <v>6</v>
      </c>
      <c r="F20" s="112">
        <f>IFERROR(__xludf.DUMMYFUNCTION("IMPORTRANGE(""https://docs.google.com/spreadsheets/d/1d0Y9C6M4-a1TT0nIK2Gc4IXnbVyxoBB3v7o1biNGAwY/edit#gid=1892753874"",""Rekap UBM!$F$9"")"),0.0)</f>
        <v>0</v>
      </c>
      <c r="G20" s="111">
        <f t="shared" si="2"/>
        <v>0</v>
      </c>
      <c r="H20" s="112" t="str">
        <f>IFERROR(__xludf.DUMMYFUNCTION("IMPORTRANGE(""https://docs.google.com/spreadsheets/d/1d0Y9C6M4-a1TT0nIK2Gc4IXnbVyxoBB3v7o1biNGAwY/edit#gid=1892753874"",""Rekap UBM!$H$9"")"),"")</f>
        <v/>
      </c>
      <c r="I20" s="112">
        <f>IFERROR(__xludf.DUMMYFUNCTION("IMPORTRANGE(""https://docs.google.com/spreadsheets/d/1d0Y9C6M4-a1TT0nIK2Gc4IXnbVyxoBB3v7o1biNGAwY/edit#gid=1892753874"",""Rekap UBM!$I$9"")"),0.0)</f>
        <v>0</v>
      </c>
      <c r="J20" s="111" t="str">
        <f t="shared" si="3"/>
        <v>#DIV/0!</v>
      </c>
    </row>
    <row r="21" ht="15.75" customHeight="1">
      <c r="A21" s="103" t="str">
        <f>'SPM-Uspro'!$C$21</f>
        <v>TRIBULAN 3</v>
      </c>
      <c r="B21" s="104">
        <f>IFERROR(__xludf.DUMMYFUNCTION("IMPORTRANGE(""https://docs.google.com/spreadsheets/d/1fXA1yQzUNddp7fjR2KF22o4rRJu9lP9Ja9Oi1mRbg_E/edit#gid=1892753874"",""Rekap UBM!$B$9"")"),1.0)</f>
        <v>1</v>
      </c>
      <c r="C21" s="104">
        <f>IFERROR(__xludf.DUMMYFUNCTION("IMPORTRANGE(""https://docs.google.com/spreadsheets/d/1fXA1yQzUNddp7fjR2KF22o4rRJu9lP9Ja9Oi1mRbg_E/edit#gid=1892753874"",""Rekap UBM!$C$9"")"),1.0)</f>
        <v>1</v>
      </c>
      <c r="D21" s="111">
        <f t="shared" si="1"/>
        <v>100</v>
      </c>
      <c r="E21" s="104">
        <f>IFERROR(__xludf.DUMMYFUNCTION("IMPORTRANGE(""https://docs.google.com/spreadsheets/d/1fXA1yQzUNddp7fjR2KF22o4rRJu9lP9Ja9Oi1mRbg_E/edit#gid=1892753874"",""Rekap UBM!$E$9"")"),1.0)</f>
        <v>1</v>
      </c>
      <c r="F21" s="112">
        <f>IFERROR(__xludf.DUMMYFUNCTION("IMPORTRANGE(""https://docs.google.com/spreadsheets/d/1fXA1yQzUNddp7fjR2KF22o4rRJu9lP9Ja9Oi1mRbg_E/edit#gid=1892753874"",""Rekap UBM!$F$9"")"),1.0)</f>
        <v>1</v>
      </c>
      <c r="G21" s="111">
        <f t="shared" si="2"/>
        <v>100</v>
      </c>
      <c r="H21" s="112" t="str">
        <f>IFERROR(__xludf.DUMMYFUNCTION("IMPORTRANGE(""https://docs.google.com/spreadsheets/d/1fXA1yQzUNddp7fjR2KF22o4rRJu9lP9Ja9Oi1mRbg_E/edit#gid=1892753874"",""Rekap UBM!$H$9"")"),"")</f>
        <v/>
      </c>
      <c r="I21" s="112" t="str">
        <f>IFERROR(__xludf.DUMMYFUNCTION("IMPORTRANGE(""https://docs.google.com/spreadsheets/d/1fXA1yQzUNddp7fjR2KF22o4rRJu9lP9Ja9Oi1mRbg_E/edit#gid=1892753874"",""Rekap UBM!$I$9"")"),"")</f>
        <v/>
      </c>
      <c r="J21" s="111" t="str">
        <f t="shared" si="3"/>
        <v>#DIV/0!</v>
      </c>
    </row>
    <row r="22" ht="15.75" customHeight="1">
      <c r="A22" s="103" t="str">
        <f>'SPM-Uspro'!$C$22</f>
        <v>OKTOBER</v>
      </c>
      <c r="B22" s="104">
        <f>IFERROR(__xludf.DUMMYFUNCTION("IMPORTRANGE(""https://docs.google.com/spreadsheets/d/155aL1qCqCleHwMP0Y8LT5akEbK27R0RIka-lAkeoeEo/edit#gid=1892753874"",""Rekap UBM!$B$9"")"),1.0)</f>
        <v>1</v>
      </c>
      <c r="C22" s="104">
        <f>IFERROR(__xludf.DUMMYFUNCTION("IMPORTRANGE(""https://docs.google.com/spreadsheets/d/155aL1qCqCleHwMP0Y8LT5akEbK27R0RIka-lAkeoeEo/edit#gid=1892753874"",""Rekap UBM!$C$9"")"),1.0)</f>
        <v>1</v>
      </c>
      <c r="D22" s="111">
        <f t="shared" si="1"/>
        <v>100</v>
      </c>
      <c r="E22" s="104">
        <f>IFERROR(__xludf.DUMMYFUNCTION("IMPORTRANGE(""https://docs.google.com/spreadsheets/d/155aL1qCqCleHwMP0Y8LT5akEbK27R0RIka-lAkeoeEo/edit#gid=1892753874"",""Rekap UBM!$E$9"")"),7.0)</f>
        <v>7</v>
      </c>
      <c r="F22" s="112">
        <f>IFERROR(__xludf.DUMMYFUNCTION("IMPORTRANGE(""https://docs.google.com/spreadsheets/d/155aL1qCqCleHwMP0Y8LT5akEbK27R0RIka-lAkeoeEo/edit#gid=1892753874"",""Rekap UBM!$F$9"")"),0.0)</f>
        <v>0</v>
      </c>
      <c r="G22" s="111">
        <f t="shared" si="2"/>
        <v>0</v>
      </c>
      <c r="H22" s="112">
        <f>IFERROR(__xludf.DUMMYFUNCTION("IMPORTRANGE(""https://docs.google.com/spreadsheets/d/155aL1qCqCleHwMP0Y8LT5akEbK27R0RIka-lAkeoeEo/edit#gid=1892753874"",""Rekap UBM!$H$9"")"),2.0)</f>
        <v>2</v>
      </c>
      <c r="I22" s="112">
        <f>IFERROR(__xludf.DUMMYFUNCTION("IMPORTRANGE(""https://docs.google.com/spreadsheets/d/155aL1qCqCleHwMP0Y8LT5akEbK27R0RIka-lAkeoeEo/edit#gid=1892753874"",""Rekap UBM!$I$9"")"),0.0)</f>
        <v>0</v>
      </c>
      <c r="J22" s="111">
        <f t="shared" si="3"/>
        <v>0</v>
      </c>
    </row>
    <row r="23" ht="15.75" customHeight="1">
      <c r="A23" s="103" t="str">
        <f>'SPM-Uspro'!$C$23</f>
        <v>NOVEMBER</v>
      </c>
      <c r="B23" s="104">
        <f>IFERROR(__xludf.DUMMYFUNCTION("IMPORTRANGE(""https://docs.google.com/spreadsheets/d/13FRR1udp0c0o6Nmp_8YHiON78PXr-L4FqQQ028JcBYY/edit#gid=1522333227"",""Rekap UBM!$B$9"")"),1.0)</f>
        <v>1</v>
      </c>
      <c r="C23" s="104">
        <f>IFERROR(__xludf.DUMMYFUNCTION("IMPORTRANGE(""https://docs.google.com/spreadsheets/d/13FRR1udp0c0o6Nmp_8YHiON78PXr-L4FqQQ028JcBYY/edit#gid=1522333227"",""Rekap UBM!$C$9"")"),1.0)</f>
        <v>1</v>
      </c>
      <c r="D23" s="111">
        <f t="shared" si="1"/>
        <v>100</v>
      </c>
      <c r="E23" s="104">
        <f>IFERROR(__xludf.DUMMYFUNCTION("IMPORTRANGE(""https://docs.google.com/spreadsheets/d/13FRR1udp0c0o6Nmp_8YHiON78PXr-L4FqQQ028JcBYY/edit#gid=1522333227"",""Rekap UBM!$E$9"")"),0.0)</f>
        <v>0</v>
      </c>
      <c r="F23" s="112">
        <f>IFERROR(__xludf.DUMMYFUNCTION("IMPORTRANGE(""https://docs.google.com/spreadsheets/d/13FRR1udp0c0o6Nmp_8YHiON78PXr-L4FqQQ028JcBYY/edit#gid=1522333227"",""Rekap UBM!$F$9"")"),0.0)</f>
        <v>0</v>
      </c>
      <c r="G23" s="111" t="str">
        <f t="shared" si="2"/>
        <v>#DIV/0!</v>
      </c>
      <c r="H23" s="112">
        <f>IFERROR(__xludf.DUMMYFUNCTION("IMPORTRANGE(""https://docs.google.com/spreadsheets/d/13FRR1udp0c0o6Nmp_8YHiON78PXr-L4FqQQ028JcBYY/edit#gid=1522333227"",""Rekap UBM!$H$9"")"),0.0)</f>
        <v>0</v>
      </c>
      <c r="I23" s="112">
        <f>IFERROR(__xludf.DUMMYFUNCTION("IMPORTRANGE(""https://docs.google.com/spreadsheets/d/13FRR1udp0c0o6Nmp_8YHiON78PXr-L4FqQQ028JcBYY/edit#gid=1522333227"",""Rekap UBM!$I$9"")"),0.0)</f>
        <v>0</v>
      </c>
      <c r="J23" s="111" t="str">
        <f t="shared" si="3"/>
        <v>#DIV/0!</v>
      </c>
    </row>
    <row r="24" ht="15.75" customHeight="1">
      <c r="A24" s="103" t="str">
        <f>'SPM-Uspro'!$C$24</f>
        <v>DESEMBER</v>
      </c>
      <c r="B24" s="104">
        <f>IFERROR(__xludf.DUMMYFUNCTION("IMPORTRANGE(""https://docs.google.com/spreadsheets/d/1PVwe4VvYfj1Vj424c9kO9TcQogsBM6TpXMbFve9togc/edit#gid=1522333227"",""Rekap UBM!$B$9"")"),1.0)</f>
        <v>1</v>
      </c>
      <c r="C24" s="104">
        <f>IFERROR(__xludf.DUMMYFUNCTION("IMPORTRANGE(""https://docs.google.com/spreadsheets/d/1PVwe4VvYfj1Vj424c9kO9TcQogsBM6TpXMbFve9togc/edit#gid=1522333227"",""Rekap UBM!$C$9"")"),1.0)</f>
        <v>1</v>
      </c>
      <c r="D24" s="111">
        <f t="shared" si="1"/>
        <v>100</v>
      </c>
      <c r="E24" s="104">
        <f>IFERROR(__xludf.DUMMYFUNCTION("IMPORTRANGE(""https://docs.google.com/spreadsheets/d/1PVwe4VvYfj1Vj424c9kO9TcQogsBM6TpXMbFve9togc/edit#gid=1522333227"",""Rekap UBM!$E$9"")"),3.0)</f>
        <v>3</v>
      </c>
      <c r="F24" s="112">
        <f>IFERROR(__xludf.DUMMYFUNCTION("IMPORTRANGE(""https://docs.google.com/spreadsheets/d/1PVwe4VvYfj1Vj424c9kO9TcQogsBM6TpXMbFve9togc/edit#gid=1522333227"",""Rekap UBM!$F$9"")"),0.0)</f>
        <v>0</v>
      </c>
      <c r="G24" s="111">
        <f t="shared" si="2"/>
        <v>0</v>
      </c>
      <c r="H24" s="112">
        <f>IFERROR(__xludf.DUMMYFUNCTION("IMPORTRANGE(""https://docs.google.com/spreadsheets/d/1PVwe4VvYfj1Vj424c9kO9TcQogsBM6TpXMbFve9togc/edit#gid=1522333227"",""Rekap UBM!$H$9"")"),0.0)</f>
        <v>0</v>
      </c>
      <c r="I24" s="112">
        <f>IFERROR(__xludf.DUMMYFUNCTION("IMPORTRANGE(""https://docs.google.com/spreadsheets/d/1PVwe4VvYfj1Vj424c9kO9TcQogsBM6TpXMbFve9togc/edit#gid=1522333227"",""Rekap UBM!$I$9"")"),0.0)</f>
        <v>0</v>
      </c>
      <c r="J24" s="111" t="str">
        <f t="shared" si="3"/>
        <v>#DIV/0!</v>
      </c>
    </row>
    <row r="25" ht="15.75" customHeight="1">
      <c r="A25" s="103" t="str">
        <f>'SPM-Uspro'!$C$25</f>
        <v>TRIBULAN 4</v>
      </c>
      <c r="B25" s="104">
        <f>IFERROR(__xludf.DUMMYFUNCTION("IMPORTRANGE(""https://docs.google.com/spreadsheets/d/15JUTNcWxWGx3Ha8qvwbxgnbDbT4v7N3vZYvqPZ68_Xg/edit#gid=1892753874"",""Rekap UBM!$B$9"")"),1.0)</f>
        <v>1</v>
      </c>
      <c r="C25" s="104">
        <f>IFERROR(__xludf.DUMMYFUNCTION("IMPORTRANGE(""https://docs.google.com/spreadsheets/d/15JUTNcWxWGx3Ha8qvwbxgnbDbT4v7N3vZYvqPZ68_Xg/edit#gid=1892753874"",""Rekap UBM!$C$9"")"),1.0)</f>
        <v>1</v>
      </c>
      <c r="D25" s="111">
        <f t="shared" si="1"/>
        <v>100</v>
      </c>
      <c r="E25" s="104" t="str">
        <f>IFERROR(__xludf.DUMMYFUNCTION("IMPORTRANGE(""https://docs.google.com/spreadsheets/d/15JUTNcWxWGx3Ha8qvwbxgnbDbT4v7N3vZYvqPZ68_Xg/edit#gid=1892753874"",""Rekap UBM!$E$9"")"),"")</f>
        <v/>
      </c>
      <c r="F25" s="112" t="str">
        <f>IFERROR(__xludf.DUMMYFUNCTION("IMPORTRANGE(""https://docs.google.com/spreadsheets/d/15JUTNcWxWGx3Ha8qvwbxgnbDbT4v7N3vZYvqPZ68_Xg/edit#gid=1892753874"",""Rekap UBM!$F$9"")"),"")</f>
        <v/>
      </c>
      <c r="G25" s="111" t="str">
        <f t="shared" si="2"/>
        <v>#DIV/0!</v>
      </c>
      <c r="H25" s="112" t="str">
        <f>IFERROR(__xludf.DUMMYFUNCTION("IMPORTRANGE(""https://docs.google.com/spreadsheets/d/15JUTNcWxWGx3Ha8qvwbxgnbDbT4v7N3vZYvqPZ68_Xg/edit#gid=1892753874"",""Rekap UBM!$H$9"")"),"")</f>
        <v/>
      </c>
      <c r="I25" s="112" t="str">
        <f>IFERROR(__xludf.DUMMYFUNCTION("IMPORTRANGE(""https://docs.google.com/spreadsheets/d/15JUTNcWxWGx3Ha8qvwbxgnbDbT4v7N3vZYvqPZ68_Xg/edit#gid=1892753874"",""Rekap UBM!$I$9"")"),"")</f>
        <v/>
      </c>
      <c r="J25" s="111" t="str">
        <f t="shared" si="3"/>
        <v>#DIV/0!</v>
      </c>
    </row>
    <row r="26" ht="15.75" customHeight="1"/>
    <row r="27" ht="15.75" customHeight="1">
      <c r="B27" s="113" t="s">
        <v>55</v>
      </c>
      <c r="C27" s="114"/>
      <c r="D27" s="115" t="s">
        <v>56</v>
      </c>
    </row>
    <row r="28" ht="15.75" customHeight="1">
      <c r="B28" s="114"/>
      <c r="C28" s="114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D7:D9"/>
    <mergeCell ref="E7:E9"/>
    <mergeCell ref="F7:F9"/>
    <mergeCell ref="G7:G9"/>
    <mergeCell ref="H7:H9"/>
    <mergeCell ref="I7:I9"/>
    <mergeCell ref="D27:I28"/>
    <mergeCell ref="A1:C3"/>
    <mergeCell ref="D1:J4"/>
    <mergeCell ref="A4:C4"/>
    <mergeCell ref="A6:J6"/>
    <mergeCell ref="A7:A9"/>
    <mergeCell ref="B7:B9"/>
    <mergeCell ref="C7:C9"/>
    <mergeCell ref="J7:J9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