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Per Puskesmas - Rekap KTR" sheetId="1" r:id="rId4"/>
    <sheet state="hidden" name="Per Puskesmas Rekap UBM" sheetId="2" r:id="rId5"/>
    <sheet state="visible" name="Plyn. Gilut" sheetId="3" r:id="rId6"/>
  </sheets>
  <definedNames/>
  <calcPr/>
  <extLst>
    <ext uri="GoogleSheetsCustomDataVersion2">
      <go:sheetsCustomData xmlns:go="http://customooxmlschemas.google.com/" r:id="rId7" roundtripDataChecksum="4EEiTCpOz4jq+hBRV3XgPGx+7WdDU/Y7kvs0i0aM4Bw="/>
    </ext>
  </extLst>
</workbook>
</file>

<file path=xl/sharedStrings.xml><?xml version="1.0" encoding="utf-8"?>
<sst xmlns="http://schemas.openxmlformats.org/spreadsheetml/2006/main" count="75" uniqueCount="72">
  <si>
    <t xml:space="preserve">              Kembali ke _x000a_              Pilihan Program</t>
  </si>
  <si>
    <t>CAPAIAN IKK TAHUN 2024</t>
  </si>
  <si>
    <t>Rekapitulasi Penerapan Kawasan Tanpa Rokok (KTR)</t>
  </si>
  <si>
    <t>download sheet ini</t>
  </si>
  <si>
    <t>PUSKESMAS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</si>
  <si>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</si>
  <si>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</si>
  <si>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</si>
  <si>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</si>
  <si>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</si>
  <si>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</si>
  <si>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</si>
  <si>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</si>
  <si>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</si>
  <si>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</si>
  <si>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</si>
  <si>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</si>
  <si>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</si>
  <si>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</si>
  <si>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</si>
  <si>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</si>
  <si>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</si>
  <si>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</si>
  <si>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</si>
  <si>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</si>
  <si>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</si>
  <si>
    <t>LAPORAN PELAYANAN GIGI DAN MULUT</t>
  </si>
  <si>
    <t>PUSKESMAS MOJOLANGU</t>
  </si>
  <si>
    <t>TAHUN 2025</t>
  </si>
  <si>
    <t>NO</t>
  </si>
  <si>
    <t>BULAN</t>
  </si>
  <si>
    <t>JUMLAH DOKTER GIGI</t>
  </si>
  <si>
    <t>JUMLAH TERAPIS GIGI</t>
  </si>
  <si>
    <t>SARPRAS DI POLI GIGI SESUAI STANDART MASA PANDEMI/ TIDAK</t>
  </si>
  <si>
    <t>TUMPATAN GIGI TETAP</t>
  </si>
  <si>
    <t>PENCABUTAN GIGI TETAP</t>
  </si>
  <si>
    <t>RASIO TUMPATAN/ PENCABUTAN</t>
  </si>
  <si>
    <t>JUMLAH KASUS GIGI</t>
  </si>
  <si>
    <t>JUMLAH KASUS DIRUJUK</t>
  </si>
  <si>
    <t>% KASUS DIRUJUK</t>
  </si>
  <si>
    <t>BUMIL YANG BERKUNJUNG KE PUSKESMAS</t>
  </si>
  <si>
    <t>BUMIL YANG MENDAPATKAN PELAYANAN DI POLI GIGI PUSKESMAS</t>
  </si>
  <si>
    <t>%</t>
  </si>
  <si>
    <t>JANUARI</t>
  </si>
  <si>
    <t>68/36</t>
  </si>
  <si>
    <t>FEBRUARI</t>
  </si>
  <si>
    <t>56/34</t>
  </si>
  <si>
    <t>MARET</t>
  </si>
  <si>
    <t>72/28</t>
  </si>
  <si>
    <t>TRIBULAN 1</t>
  </si>
  <si>
    <t>APRIL</t>
  </si>
  <si>
    <t>66/28</t>
  </si>
  <si>
    <t>MEI</t>
  </si>
  <si>
    <t>83/25</t>
  </si>
  <si>
    <t>JUNI</t>
  </si>
  <si>
    <t>68/46</t>
  </si>
  <si>
    <t>TRIBULAN 2</t>
  </si>
  <si>
    <t>JULI</t>
  </si>
  <si>
    <t>80/44</t>
  </si>
  <si>
    <t>AGUSTUS</t>
  </si>
  <si>
    <t>59/25</t>
  </si>
  <si>
    <t>SEPTEMBER</t>
  </si>
  <si>
    <t>55/28</t>
  </si>
  <si>
    <t>TRIBULAN 3</t>
  </si>
  <si>
    <t>OKTOBER</t>
  </si>
  <si>
    <t>63/22</t>
  </si>
  <si>
    <t>NOVEMBER</t>
  </si>
  <si>
    <t>69/30</t>
  </si>
  <si>
    <t>DESEMBER</t>
  </si>
  <si>
    <t>55/26</t>
  </si>
  <si>
    <t>TRIBULAN 4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</si>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</sst>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27">
    <font>
      <sz val="11.0"/>
      <color theme="1"/>
      <name val="Verdana"/>
      <scheme val="minor"/>
    </font>
    <font>
      <b/>
      <u/>
      <sz val="14.0"/>
      <color rgb="FF1155CC"/>
      <name val="Calibri"/>
    </font>
    <font/>
    <font>
      <b/>
      <sz val="16.0"/>
      <color theme="1"/>
      <name val="Calibri"/>
    </font>
    <font>
      <sz val="11.0"/>
      <color theme="1"/>
      <name val="Verdana"/>
    </font>
    <font>
      <b/>
      <u/>
      <sz val="14.0"/>
      <color rgb="FF0000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1.0"/>
      <color theme="1"/>
      <name val="Bookman Old Style"/>
    </font>
    <font>
      <sz val="11.0"/>
      <color theme="1"/>
      <name val="Arial Narrow"/>
    </font>
    <font>
      <b/>
      <sz val="12.0"/>
      <color rgb="FF000000"/>
      <name val="Arial Narrow"/>
    </font>
    <font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2.0"/>
      <color rgb="FF000000"/>
      <name val="Calibri"/>
    </font>
    <font>
      <b/>
      <sz val="11.0"/>
      <color rgb="FF000000"/>
      <name val="Arial"/>
    </font>
    <font>
      <b/>
      <sz val="12.0"/>
      <color rgb="FF000000"/>
      <name val="Arial"/>
    </font>
    <font>
      <b/>
      <u/>
      <sz val="12.0"/>
      <color rgb="FF274E13"/>
      <name val="Calibri"/>
    </font>
    <font>
      <b/>
      <sz val="10.0"/>
      <color theme="1"/>
      <name val="Arial"/>
    </font>
    <font>
      <i/>
      <sz val="10.0"/>
      <color theme="1"/>
      <name val="Arial"/>
    </font>
    <font>
      <sz val="11.0"/>
      <color rgb="FF000000"/>
      <name val="Arial Narrow"/>
    </font>
    <font>
      <sz val="11.0"/>
      <color rgb="FF1A1A1A"/>
      <name val="Arial"/>
    </font>
    <font>
      <sz val="12.0"/>
      <color rgb="FF1A1A1A"/>
      <name val="Arial"/>
    </font>
    <font>
      <sz val="11.0"/>
      <color theme="1"/>
      <name val="Arial"/>
    </font>
    <font>
      <b/>
      <sz val="11.0"/>
      <color theme="1"/>
      <name val="Arial Narrow"/>
    </font>
    <font>
      <b/>
      <sz val="11.0"/>
      <color theme="1"/>
      <name val="Arial"/>
    </font>
    <font>
      <sz val="12.0"/>
      <color rgb="FF000000"/>
      <name val="Arial Narrow"/>
    </font>
  </fonts>
  <fills count="11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theme="8"/>
        <bgColor theme="8"/>
      </patternFill>
    </fill>
    <fill>
      <patternFill patternType="solid">
        <fgColor rgb="FFFFDCC7"/>
        <bgColor rgb="FFFFDCC7"/>
      </patternFill>
    </fill>
  </fills>
  <borders count="25">
    <border/>
    <border>
      <left/>
      <top/>
    </border>
    <border>
      <top/>
    </border>
    <border>
      <left/>
      <right/>
      <top/>
      <bottom/>
    </border>
    <border>
      <left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/>
      <right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horizontal="center" vertical="center"/>
    </xf>
    <xf borderId="3" fillId="2" fontId="4" numFmtId="0" xfId="0" applyBorder="1" applyFont="1"/>
    <xf borderId="4" fillId="0" fontId="2" numFmtId="0" xfId="0" applyBorder="1" applyFont="1"/>
    <xf borderId="3" fillId="2" fontId="3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left" vertical="center"/>
    </xf>
    <xf borderId="6" fillId="0" fontId="2" numFmtId="0" xfId="0" applyBorder="1" applyFont="1"/>
    <xf borderId="0" fillId="0" fontId="6" numFmtId="0" xfId="0" applyAlignment="1" applyFont="1">
      <alignment vertical="center"/>
    </xf>
    <xf borderId="7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0" fillId="0" fontId="6" numFmtId="0" xfId="0" applyAlignment="1" applyFont="1">
      <alignment shrinkToFit="0" vertical="center" wrapText="1"/>
    </xf>
    <xf borderId="11" fillId="0" fontId="2" numFmtId="0" xfId="0" applyBorder="1" applyFont="1"/>
    <xf borderId="12" fillId="0" fontId="7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2" fillId="0" fontId="7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12" fillId="0" fontId="8" numFmtId="0" xfId="0" applyAlignment="1" applyBorder="1" applyFont="1">
      <alignment horizontal="left"/>
    </xf>
    <xf borderId="12" fillId="0" fontId="9" numFmtId="3" xfId="0" applyAlignment="1" applyBorder="1" applyFont="1" applyNumberFormat="1">
      <alignment horizontal="right"/>
    </xf>
    <xf borderId="1" fillId="2" fontId="3" numFmtId="0" xfId="0" applyAlignment="1" applyBorder="1" applyFont="1">
      <alignment horizontal="center" vertical="center"/>
    </xf>
    <xf borderId="8" fillId="3" fontId="10" numFmtId="0" xfId="0" applyAlignment="1" applyBorder="1" applyFill="1" applyFont="1">
      <alignment horizontal="center" vertical="center"/>
    </xf>
    <xf borderId="0" fillId="0" fontId="4" numFmtId="0" xfId="0" applyAlignment="1" applyFont="1">
      <alignment vertical="center"/>
    </xf>
    <xf borderId="14" fillId="4" fontId="10" numFmtId="0" xfId="0" applyAlignment="1" applyBorder="1" applyFill="1" applyFont="1">
      <alignment horizontal="center" shrinkToFit="0" vertical="center" wrapText="1"/>
    </xf>
    <xf borderId="14" fillId="5" fontId="10" numFmtId="0" xfId="0" applyAlignment="1" applyBorder="1" applyFill="1" applyFont="1">
      <alignment horizontal="center" shrinkToFit="0" vertical="center" wrapText="1"/>
    </xf>
    <xf borderId="14" fillId="6" fontId="10" numFmtId="0" xfId="0" applyAlignment="1" applyBorder="1" applyFill="1" applyFont="1">
      <alignment horizontal="center" shrinkToFit="0" vertical="center" wrapText="1"/>
    </xf>
    <xf borderId="15" fillId="0" fontId="11" numFmtId="164" xfId="0" applyAlignment="1" applyBorder="1" applyFont="1" applyNumberFormat="1">
      <alignment horizontal="center"/>
    </xf>
    <xf borderId="13" fillId="0" fontId="9" numFmtId="3" xfId="0" applyAlignment="1" applyBorder="1" applyFont="1" applyNumberFormat="1">
      <alignment horizontal="right"/>
    </xf>
    <xf borderId="0" fillId="0" fontId="12" numFmtId="0" xfId="0" applyFont="1"/>
    <xf borderId="0" fillId="0" fontId="13" numFmtId="0" xfId="0" applyFont="1"/>
    <xf borderId="0" fillId="0" fontId="6" numFmtId="0" xfId="0" applyAlignment="1" applyFont="1">
      <alignment shrinkToFit="0" vertical="top" wrapText="1"/>
    </xf>
    <xf borderId="0" fillId="0" fontId="14" numFmtId="0" xfId="0" applyAlignment="1" applyFont="1">
      <alignment readingOrder="0" vertical="center"/>
    </xf>
    <xf borderId="3" fillId="7" fontId="15" numFmtId="0" xfId="0" applyAlignment="1" applyBorder="1" applyFill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vertical="center"/>
    </xf>
    <xf borderId="0" fillId="0" fontId="14" numFmtId="0" xfId="0" applyAlignment="1" applyFont="1">
      <alignment readingOrder="0" vertical="top"/>
    </xf>
    <xf borderId="0" fillId="0" fontId="17" numFmtId="0" xfId="0" applyAlignment="1" applyFont="1">
      <alignment readingOrder="0" vertical="top"/>
    </xf>
    <xf borderId="7" fillId="0" fontId="18" numFmtId="0" xfId="0" applyAlignment="1" applyBorder="1" applyFont="1">
      <alignment horizontal="center" vertical="center"/>
    </xf>
    <xf borderId="7" fillId="7" fontId="18" numFmtId="0" xfId="0" applyAlignment="1" applyBorder="1" applyFont="1">
      <alignment horizontal="center" vertical="center"/>
    </xf>
    <xf borderId="7" fillId="0" fontId="18" numFmtId="0" xfId="0" applyAlignment="1" applyBorder="1" applyFont="1">
      <alignment horizontal="center" shrinkToFit="0" vertical="center" wrapText="1"/>
    </xf>
    <xf borderId="7" fillId="8" fontId="18" numFmtId="0" xfId="0" applyAlignment="1" applyBorder="1" applyFill="1" applyFont="1">
      <alignment horizontal="center" shrinkToFit="0" vertical="center" wrapText="1"/>
    </xf>
    <xf borderId="7" fillId="8" fontId="18" numFmtId="0" xfId="0" applyAlignment="1" applyBorder="1" applyFont="1">
      <alignment horizontal="center" vertical="center"/>
    </xf>
    <xf borderId="13" fillId="0" fontId="19" numFmtId="0" xfId="0" applyAlignment="1" applyBorder="1" applyFont="1">
      <alignment horizontal="center" vertical="center"/>
    </xf>
    <xf borderId="16" fillId="7" fontId="19" numFmtId="0" xfId="0" applyAlignment="1" applyBorder="1" applyFont="1">
      <alignment horizontal="center" vertical="center"/>
    </xf>
    <xf borderId="15" fillId="0" fontId="19" numFmtId="0" xfId="0" applyAlignment="1" applyBorder="1" applyFont="1">
      <alignment horizontal="center" vertical="center"/>
    </xf>
    <xf borderId="16" fillId="8" fontId="19" numFmtId="0" xfId="0" applyAlignment="1" applyBorder="1" applyFont="1">
      <alignment horizontal="center" vertical="center"/>
    </xf>
    <xf borderId="17" fillId="0" fontId="20" numFmtId="0" xfId="0" applyAlignment="1" applyBorder="1" applyFont="1">
      <alignment horizontal="center"/>
    </xf>
    <xf borderId="18" fillId="0" fontId="9" numFmtId="0" xfId="0" applyAlignment="1" applyBorder="1" applyFont="1">
      <alignment horizontal="left"/>
    </xf>
    <xf borderId="15" fillId="0" fontId="21" numFmtId="3" xfId="0" applyAlignment="1" applyBorder="1" applyFont="1" applyNumberFormat="1">
      <alignment horizontal="center"/>
    </xf>
    <xf borderId="15" fillId="0" fontId="21" numFmtId="164" xfId="0" applyAlignment="1" applyBorder="1" applyFont="1" applyNumberFormat="1">
      <alignment horizontal="center"/>
    </xf>
    <xf borderId="16" fillId="9" fontId="22" numFmtId="3" xfId="0" applyAlignment="1" applyBorder="1" applyFill="1" applyFont="1" applyNumberFormat="1">
      <alignment horizontal="center"/>
    </xf>
    <xf borderId="16" fillId="9" fontId="21" numFmtId="3" xfId="0" applyAlignment="1" applyBorder="1" applyFont="1" applyNumberFormat="1">
      <alignment horizontal="center"/>
    </xf>
    <xf borderId="12" fillId="0" fontId="23" numFmtId="164" xfId="0" applyAlignment="1" applyBorder="1" applyFont="1" applyNumberFormat="1">
      <alignment horizontal="center"/>
    </xf>
    <xf borderId="12" fillId="0" fontId="21" numFmtId="3" xfId="0" applyAlignment="1" applyBorder="1" applyFont="1" applyNumberFormat="1">
      <alignment horizontal="center"/>
    </xf>
    <xf borderId="12" fillId="0" fontId="23" numFmtId="164" xfId="0" applyAlignment="1" applyBorder="1" applyFont="1" applyNumberFormat="1">
      <alignment horizontal="center" vertical="center"/>
    </xf>
    <xf borderId="19" fillId="0" fontId="9" numFmtId="0" xfId="0" applyAlignment="1" applyBorder="1" applyFont="1">
      <alignment horizontal="left"/>
    </xf>
    <xf borderId="15" fillId="0" fontId="21" numFmtId="3" xfId="0" applyAlignment="1" applyBorder="1" applyFont="1" applyNumberFormat="1">
      <alignment horizontal="center" vertical="center"/>
    </xf>
    <xf borderId="15" fillId="0" fontId="23" numFmtId="3" xfId="0" applyAlignment="1" applyBorder="1" applyFont="1" applyNumberFormat="1">
      <alignment horizontal="center" vertical="center"/>
    </xf>
    <xf borderId="20" fillId="10" fontId="20" numFmtId="0" xfId="0" applyAlignment="1" applyBorder="1" applyFill="1" applyFont="1">
      <alignment horizontal="center"/>
    </xf>
    <xf borderId="21" fillId="10" fontId="24" numFmtId="0" xfId="0" applyAlignment="1" applyBorder="1" applyFont="1">
      <alignment horizontal="left"/>
    </xf>
    <xf borderId="16" fillId="10" fontId="25" numFmtId="3" xfId="0" applyAlignment="1" applyBorder="1" applyFont="1" applyNumberFormat="1">
      <alignment horizontal="center"/>
    </xf>
    <xf borderId="16" fillId="10" fontId="25" numFmtId="3" xfId="0" applyAlignment="1" applyBorder="1" applyFont="1" applyNumberFormat="1">
      <alignment horizontal="center" vertical="center"/>
    </xf>
    <xf borderId="16" fillId="10" fontId="25" numFmtId="164" xfId="0" applyAlignment="1" applyBorder="1" applyFont="1" applyNumberFormat="1">
      <alignment horizontal="center"/>
    </xf>
    <xf borderId="12" fillId="10" fontId="25" numFmtId="164" xfId="0" applyAlignment="1" applyBorder="1" applyFont="1" applyNumberFormat="1">
      <alignment horizontal="center"/>
    </xf>
    <xf borderId="12" fillId="10" fontId="25" numFmtId="3" xfId="0" applyAlignment="1" applyBorder="1" applyFont="1" applyNumberFormat="1">
      <alignment horizontal="center"/>
    </xf>
    <xf borderId="12" fillId="10" fontId="25" numFmtId="164" xfId="0" applyAlignment="1" applyBorder="1" applyFont="1" applyNumberFormat="1">
      <alignment horizontal="center" vertical="center"/>
    </xf>
    <xf borderId="17" fillId="0" fontId="26" numFmtId="0" xfId="0" applyAlignment="1" applyBorder="1" applyFont="1">
      <alignment horizontal="center"/>
    </xf>
    <xf borderId="22" fillId="10" fontId="20" numFmtId="0" xfId="0" applyAlignment="1" applyBorder="1" applyFont="1">
      <alignment horizontal="center"/>
    </xf>
    <xf borderId="23" fillId="10" fontId="24" numFmtId="0" xfId="0" applyAlignment="1" applyBorder="1" applyFont="1">
      <alignment horizontal="left"/>
    </xf>
    <xf borderId="8" fillId="0" fontId="25" numFmtId="0" xfId="0" applyAlignment="1" applyBorder="1" applyFont="1">
      <alignment horizontal="center"/>
    </xf>
    <xf borderId="15" fillId="0" fontId="25" numFmtId="3" xfId="0" applyAlignment="1" applyBorder="1" applyFont="1" applyNumberFormat="1">
      <alignment horizontal="center"/>
    </xf>
    <xf borderId="15" fillId="0" fontId="25" numFmtId="164" xfId="0" applyAlignment="1" applyBorder="1" applyFont="1" applyNumberFormat="1">
      <alignment horizontal="center"/>
    </xf>
    <xf borderId="12" fillId="0" fontId="25" numFmtId="164" xfId="0" applyAlignment="1" applyBorder="1" applyFont="1" applyNumberFormat="1">
      <alignment horizontal="center"/>
    </xf>
    <xf borderId="12" fillId="0" fontId="25" numFmtId="164" xfId="0" applyAlignment="1" applyBorder="1" applyFont="1" applyNumberFormat="1">
      <alignment horizontal="center" vertical="center"/>
    </xf>
    <xf borderId="24" fillId="7" fontId="4" numFmtId="0" xfId="0" applyBorder="1" applyFont="1"/>
    <xf borderId="0" fillId="0" fontId="4" numFmtId="3" xfId="0" applyAlignment="1" applyFont="1" applyNumberFormat="1">
      <alignment horizontal="center"/>
    </xf>
    <xf borderId="0" fillId="0" fontId="4" numFmtId="3" xfId="0" applyFont="1" applyNumberFormat="1"/>
    <xf borderId="0" fillId="0" fontId="4" numFmtId="3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525917830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233102740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4.33"/>
    <col customWidth="1" min="2" max="2" width="28.44"/>
    <col customWidth="1" min="3" max="3" width="30.78"/>
    <col customWidth="1" min="4" max="4" width="27.89"/>
    <col customWidth="1" min="5" max="11" width="16.78"/>
    <col customWidth="1" min="12" max="18" width="11.22"/>
    <col customWidth="1" min="19" max="19" width="4.7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/>
      <c r="C2" s="6" t="s">
        <v>1</v>
      </c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>
      <c r="A3" s="5"/>
      <c r="C3" s="6" t="s">
        <v>2</v>
      </c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31.5" customHeight="1">
      <c r="A4" s="7" t="s">
        <v>3</v>
      </c>
      <c r="B4" s="8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>
      <c r="A6" s="9"/>
      <c r="B6" s="10" t="s">
        <v>4</v>
      </c>
      <c r="C6" s="11" t="s">
        <v>5</v>
      </c>
      <c r="D6" s="12"/>
      <c r="E6" s="12"/>
      <c r="F6" s="12"/>
      <c r="G6" s="12"/>
      <c r="H6" s="12"/>
      <c r="I6" s="13"/>
      <c r="J6" s="9"/>
      <c r="K6" s="9"/>
      <c r="L6" s="9"/>
      <c r="M6" s="9"/>
      <c r="N6" s="9"/>
      <c r="O6" s="9"/>
      <c r="P6" s="9"/>
      <c r="Q6" s="9"/>
    </row>
    <row r="7">
      <c r="A7" s="14"/>
      <c r="B7" s="15"/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4"/>
      <c r="K7" s="14"/>
      <c r="L7" s="14"/>
      <c r="M7" s="14"/>
      <c r="N7" s="14"/>
      <c r="O7" s="14"/>
      <c r="P7" s="14"/>
      <c r="Q7" s="14"/>
    </row>
    <row r="8">
      <c r="A8" s="9"/>
      <c r="B8" s="17"/>
      <c r="C8" s="18">
        <v>1.0</v>
      </c>
      <c r="D8" s="18">
        <v>2.0</v>
      </c>
      <c r="E8" s="18">
        <v>3.0</v>
      </c>
      <c r="F8" s="18">
        <v>4.0</v>
      </c>
      <c r="G8" s="18">
        <v>5.0</v>
      </c>
      <c r="H8" s="18">
        <v>6.0</v>
      </c>
      <c r="I8" s="18">
        <v>7.0</v>
      </c>
      <c r="J8" s="19"/>
      <c r="K8" s="19"/>
      <c r="L8" s="19"/>
      <c r="M8" s="19"/>
      <c r="N8" s="19"/>
      <c r="O8" s="19"/>
      <c r="P8" s="19"/>
      <c r="Q8" s="9"/>
    </row>
    <row r="9">
      <c r="B9" s="20" t="str">
        <f>'SPM-Uspro'!$C$13</f>
        <v>#REF!</v>
      </c>
      <c r="C9" s="21">
        <f>IFERROR(__xludf.DUMMYFUNCTION("IMPORTRANGE(""https://docs.google.com/spreadsheets/d/1P0UTisakTE5EAx-MYEjY2DmhSnLNqqRm6P3NrlYXL2I/edit#gid=1892753874"",""Rekap KTR!$E$6"")"),6.0)</f>
        <v>6</v>
      </c>
      <c r="D9" s="21">
        <f>IFERROR(__xludf.DUMMYFUNCTION("IMPORTRANGE(""https://docs.google.com/spreadsheets/d/1P0UTisakTE5EAx-MYEjY2DmhSnLNqqRm6P3NrlYXL2I/edit#gid=1892753874"",""Rekap KTR!$E$7"")"),26.0)</f>
        <v>26</v>
      </c>
      <c r="E9" s="21">
        <f>IFERROR(__xludf.DUMMYFUNCTION("IMPORTRANGE(""https://docs.google.com/spreadsheets/d/1P0UTisakTE5EAx-MYEjY2DmhSnLNqqRm6P3NrlYXL2I/edit#gid=1892753874"",""Rekap KTR!$E$8"")"),56.0)</f>
        <v>56</v>
      </c>
      <c r="F9" s="21">
        <f>IFERROR(__xludf.DUMMYFUNCTION("IMPORTRANGE(""https://docs.google.com/spreadsheets/d/1P0UTisakTE5EAx-MYEjY2DmhSnLNqqRm6P3NrlYXL2I/edit#gid=1892753874"",""Rekap KTR!$E$9"")"),8.0)</f>
        <v>8</v>
      </c>
      <c r="G9" s="21">
        <f>IFERROR(__xludf.DUMMYFUNCTION("IMPORTRANGE(""https://docs.google.com/spreadsheets/d/1P0UTisakTE5EAx-MYEjY2DmhSnLNqqRm6P3NrlYXL2I/edit#gid=1892753874"",""Rekap KTR!$E$10"")"),0.0)</f>
        <v>0</v>
      </c>
      <c r="H9" s="21">
        <f>IFERROR(__xludf.DUMMYFUNCTION("IMPORTRANGE(""https://docs.google.com/spreadsheets/d/1P0UTisakTE5EAx-MYEjY2DmhSnLNqqRm6P3NrlYXL2I/edit#gid=1892753874"",""Rekap KTR!$E$11"")"),8.0)</f>
        <v>8</v>
      </c>
      <c r="I9" s="21">
        <f>IFERROR(__xludf.DUMMYFUNCTION("IMPORTRANGE(""https://docs.google.com/spreadsheets/d/1P0UTisakTE5EAx-MYEjY2DmhSnLNqqRm6P3NrlYXL2I/edit#gid=1892753874"",""Rekap KTR!$E$12"")"),0.0)</f>
        <v>0</v>
      </c>
    </row>
    <row r="10">
      <c r="B10" s="20" t="str">
        <f>'SPM-Uspro'!$C$14</f>
        <v>#REF!</v>
      </c>
      <c r="C10" s="21">
        <f>IFERROR(__xludf.DUMMYFUNCTION("IMPORTRANGE(""https://docs.google.com/spreadsheets/d/1jB-UnyPBzGq1HOZkIVtft_Wo28OEKcZNsVgS5r_boTE/edit#gid=1522333227"",""Rekap KTR!$E$6"")"),12.0)</f>
        <v>12</v>
      </c>
      <c r="D10" s="21">
        <f>IFERROR(__xludf.DUMMYFUNCTION("IMPORTRANGE(""https://docs.google.com/spreadsheets/d/1jB-UnyPBzGq1HOZkIVtft_Wo28OEKcZNsVgS5r_boTE/edit#gid=1522333227"",""Rekap KTR!$E$7"")"),53.0)</f>
        <v>53</v>
      </c>
      <c r="E10" s="21">
        <f>IFERROR(__xludf.DUMMYFUNCTION("IMPORTRANGE(""https://docs.google.com/spreadsheets/d/1jB-UnyPBzGq1HOZkIVtft_Wo28OEKcZNsVgS5r_boTE/edit#gid=1522333227"",""Rekap KTR!$E$8"")"),56.0)</f>
        <v>56</v>
      </c>
      <c r="F10" s="21" t="str">
        <f>IFERROR(__xludf.DUMMYFUNCTION("IMPORTRANGE(""https://docs.google.com/spreadsheets/d/1jB-UnyPBzGq1HOZkIVtft_Wo28OEKcZNsVgS5r_boTE/edit#gid=1522333227"",""Rekap KTR!$E$9"")"),"")</f>
        <v/>
      </c>
      <c r="G10" s="21">
        <f>IFERROR(__xludf.DUMMYFUNCTION("IMPORTRANGE(""https://docs.google.com/spreadsheets/d/1jB-UnyPBzGq1HOZkIVtft_Wo28OEKcZNsVgS5r_boTE/edit#gid=1522333227"",""Rekap KTR!$E$10"")"),0.0)</f>
        <v>0</v>
      </c>
      <c r="H10" s="21" t="str">
        <f>IFERROR(__xludf.DUMMYFUNCTION("IMPORTRANGE(""https://docs.google.com/spreadsheets/d/1jB-UnyPBzGq1HOZkIVtft_Wo28OEKcZNsVgS5r_boTE/edit#gid=1522333227"",""Rekap KTR!$E$11"")"),"")</f>
        <v/>
      </c>
      <c r="I10" s="21">
        <f>IFERROR(__xludf.DUMMYFUNCTION("IMPORTRANGE(""https://docs.google.com/spreadsheets/d/1jB-UnyPBzGq1HOZkIVtft_Wo28OEKcZNsVgS5r_boTE/edit#gid=1522333227"",""Rekap KTR!$E$12"")"),0.0)</f>
        <v>0</v>
      </c>
    </row>
    <row r="11">
      <c r="B11" s="20" t="str">
        <f>'SPM-Uspro'!$C$15</f>
        <v>#REF!</v>
      </c>
      <c r="C11" s="21">
        <f>IFERROR(__xludf.DUMMYFUNCTION("IMPORTRANGE(""https://docs.google.com/spreadsheets/d/1gHFrRpJ5fnyxfJI-jxT5z1B1L7rSV8E5sIZEN90Rfhc/edit#gid=1522333227"",""Rekap KTR!$E$6"")"),4.0)</f>
        <v>4</v>
      </c>
      <c r="D11" s="21">
        <f>IFERROR(__xludf.DUMMYFUNCTION("IMPORTRANGE(""https://docs.google.com/spreadsheets/d/1gHFrRpJ5fnyxfJI-jxT5z1B1L7rSV8E5sIZEN90Rfhc/edit#gid=1522333227"",""Rekap KTR!$E$7"")"),29.0)</f>
        <v>29</v>
      </c>
      <c r="E11" s="21">
        <f>IFERROR(__xludf.DUMMYFUNCTION("IMPORTRANGE(""https://docs.google.com/spreadsheets/d/1gHFrRpJ5fnyxfJI-jxT5z1B1L7rSV8E5sIZEN90Rfhc/edit#gid=1522333227"",""Rekap KTR!$E$8"")"),31.0)</f>
        <v>31</v>
      </c>
      <c r="F11" s="21" t="str">
        <f>IFERROR(__xludf.DUMMYFUNCTION("IMPORTRANGE(""https://docs.google.com/spreadsheets/d/1gHFrRpJ5fnyxfJI-jxT5z1B1L7rSV8E5sIZEN90Rfhc/edit#gid=1522333227"",""Rekap KTR!$E$9"")"),"")</f>
        <v/>
      </c>
      <c r="G11" s="21" t="str">
        <f>IFERROR(__xludf.DUMMYFUNCTION("IMPORTRANGE(""https://docs.google.com/spreadsheets/d/1gHFrRpJ5fnyxfJI-jxT5z1B1L7rSV8E5sIZEN90Rfhc/edit#gid=1522333227"",""Rekap KTR!$E$10"")"),"")</f>
        <v/>
      </c>
      <c r="H11" s="21" t="str">
        <f>IFERROR(__xludf.DUMMYFUNCTION("IMPORTRANGE(""https://docs.google.com/spreadsheets/d/1gHFrRpJ5fnyxfJI-jxT5z1B1L7rSV8E5sIZEN90Rfhc/edit#gid=1522333227"",""Rekap KTR!$E$11"")"),"")</f>
        <v/>
      </c>
      <c r="I11" s="21" t="str">
        <f>IFERROR(__xludf.DUMMYFUNCTION("IMPORTRANGE(""https://docs.google.com/spreadsheets/d/1gHFrRpJ5fnyxfJI-jxT5z1B1L7rSV8E5sIZEN90Rfhc/edit#gid=1522333227"",""Rekap KTR!$E$12"")"),"")</f>
        <v/>
      </c>
    </row>
    <row r="12">
      <c r="B12" s="20" t="str">
        <f>'SPM-Uspro'!$C$16</f>
        <v>#REF!</v>
      </c>
      <c r="C12" s="21">
        <f>IFERROR(__xludf.DUMMYFUNCTION("IMPORTRANGE(""https://docs.google.com/spreadsheets/d/1saC2UP2JuYJ7WRPxjh8EMf_BSfGZ18Ous8sVKGLr-Ng/edit#gid=1892753874"",""Rekap KTR!$E$6"")"),8.0)</f>
        <v>8</v>
      </c>
      <c r="D12" s="21">
        <f>IFERROR(__xludf.DUMMYFUNCTION("IMPORTRANGE(""https://docs.google.com/spreadsheets/d/1saC2UP2JuYJ7WRPxjh8EMf_BSfGZ18Ous8sVKGLr-Ng/edit#gid=1892753874"",""Rekap KTR!$E$7"")"),41.0)</f>
        <v>41</v>
      </c>
      <c r="E12" s="21">
        <f>IFERROR(__xludf.DUMMYFUNCTION("IMPORTRANGE(""https://docs.google.com/spreadsheets/d/1saC2UP2JuYJ7WRPxjh8EMf_BSfGZ18Ous8sVKGLr-Ng/edit#gid=1892753874"",""Rekap KTR!$E$8"")"),41.0)</f>
        <v>41</v>
      </c>
      <c r="F12" s="21">
        <f>IFERROR(__xludf.DUMMYFUNCTION("IMPORTRANGE(""https://docs.google.com/spreadsheets/d/1saC2UP2JuYJ7WRPxjh8EMf_BSfGZ18Ous8sVKGLr-Ng/edit#gid=1892753874"",""Rekap KTR!$E$9"")"),14.0)</f>
        <v>14</v>
      </c>
      <c r="G12" s="21">
        <f>IFERROR(__xludf.DUMMYFUNCTION("IMPORTRANGE(""https://docs.google.com/spreadsheets/d/1saC2UP2JuYJ7WRPxjh8EMf_BSfGZ18Ous8sVKGLr-Ng/edit#gid=1892753874"",""Rekap KTR!$E$10"")"),0.0)</f>
        <v>0</v>
      </c>
      <c r="H12" s="21">
        <f>IFERROR(__xludf.DUMMYFUNCTION("IMPORTRANGE(""https://docs.google.com/spreadsheets/d/1saC2UP2JuYJ7WRPxjh8EMf_BSfGZ18Ous8sVKGLr-Ng/edit#gid=1892753874"",""Rekap KTR!$E$11"")"),0.0)</f>
        <v>0</v>
      </c>
      <c r="I12" s="21">
        <f>IFERROR(__xludf.DUMMYFUNCTION("IMPORTRANGE(""https://docs.google.com/spreadsheets/d/1saC2UP2JuYJ7WRPxjh8EMf_BSfGZ18Ous8sVKGLr-Ng/edit#gid=1892753874"",""Rekap KTR!$E$12"")"),0.0)</f>
        <v>0</v>
      </c>
    </row>
    <row r="13">
      <c r="B13" s="20" t="str">
        <f>'SPM-Uspro'!$C$17</f>
        <v>#REF!</v>
      </c>
      <c r="C13" s="21">
        <f>IFERROR(__xludf.DUMMYFUNCTION("IMPORTRANGE(""https://docs.google.com/spreadsheets/d/1ApPPV7RPuDI1EDOKjkoDXkV5Yd_NofeQTYTtAHUYGGw/edit#gid=1522333227"",""Rekap KTR!$E$6"")"),3.0)</f>
        <v>3</v>
      </c>
      <c r="D13" s="21">
        <f>IFERROR(__xludf.DUMMYFUNCTION("IMPORTRANGE(""https://docs.google.com/spreadsheets/d/1ApPPV7RPuDI1EDOKjkoDXkV5Yd_NofeQTYTtAHUYGGw/edit#gid=1522333227"",""Rekap KTR!$E$7"")"),20.0)</f>
        <v>20</v>
      </c>
      <c r="E13" s="21">
        <f>IFERROR(__xludf.DUMMYFUNCTION("IMPORTRANGE(""https://docs.google.com/spreadsheets/d/1ApPPV7RPuDI1EDOKjkoDXkV5Yd_NofeQTYTtAHUYGGw/edit#gid=1522333227"",""Rekap KTR!$E$8"")"),6.0)</f>
        <v>6</v>
      </c>
      <c r="F13" s="21" t="str">
        <f>IFERROR(__xludf.DUMMYFUNCTION("IMPORTRANGE(""https://docs.google.com/spreadsheets/d/1ApPPV7RPuDI1EDOKjkoDXkV5Yd_NofeQTYTtAHUYGGw/edit#gid=1522333227"",""Rekap KTR!$E$9"")"),"")</f>
        <v/>
      </c>
      <c r="G13" s="21" t="str">
        <f>IFERROR(__xludf.DUMMYFUNCTION("IMPORTRANGE(""https://docs.google.com/spreadsheets/d/1ApPPV7RPuDI1EDOKjkoDXkV5Yd_NofeQTYTtAHUYGGw/edit#gid=1522333227"",""Rekap KTR!$E$10"")"),"")</f>
        <v/>
      </c>
      <c r="H13" s="21" t="str">
        <f>IFERROR(__xludf.DUMMYFUNCTION("IMPORTRANGE(""https://docs.google.com/spreadsheets/d/1ApPPV7RPuDI1EDOKjkoDXkV5Yd_NofeQTYTtAHUYGGw/edit#gid=1522333227"",""Rekap KTR!$E$11"")"),"")</f>
        <v/>
      </c>
      <c r="I13" s="21" t="str">
        <f>IFERROR(__xludf.DUMMYFUNCTION("IMPORTRANGE(""https://docs.google.com/spreadsheets/d/1ApPPV7RPuDI1EDOKjkoDXkV5Yd_NofeQTYTtAHUYGGw/edit#gid=1522333227"",""Rekap KTR!$E$12"")"),"")</f>
        <v/>
      </c>
    </row>
    <row r="14">
      <c r="B14" s="20" t="str">
        <f>'SPM-Uspro'!$C$18</f>
        <v>#REF!</v>
      </c>
      <c r="C14" s="21">
        <f>IFERROR(__xludf.DUMMYFUNCTION("IMPORTRANGE(""https://docs.google.com/spreadsheets/d/1iV_nqIfkAdyO_vl_QARxWbfnGcK2KlCCS94aVJ2QbTI/edit#gid=1522333227"",""Rekap KTR!$E$6"")"),6.0)</f>
        <v>6</v>
      </c>
      <c r="D14" s="21">
        <f>IFERROR(__xludf.DUMMYFUNCTION("IMPORTRANGE(""https://docs.google.com/spreadsheets/d/1iV_nqIfkAdyO_vl_QARxWbfnGcK2KlCCS94aVJ2QbTI/edit#gid=1522333227"",""Rekap KTR!$E$7"")"),26.0)</f>
        <v>26</v>
      </c>
      <c r="E14" s="21">
        <f>IFERROR(__xludf.DUMMYFUNCTION("IMPORTRANGE(""https://docs.google.com/spreadsheets/d/1iV_nqIfkAdyO_vl_QARxWbfnGcK2KlCCS94aVJ2QbTI/edit#gid=1522333227"",""Rekap KTR!$E$8"")"),13.0)</f>
        <v>13</v>
      </c>
      <c r="F14" s="21">
        <f>IFERROR(__xludf.DUMMYFUNCTION("IMPORTRANGE(""https://docs.google.com/spreadsheets/d/1iV_nqIfkAdyO_vl_QARxWbfnGcK2KlCCS94aVJ2QbTI/edit#gid=1522333227"",""Rekap KTR!$E$9"")"),0.0)</f>
        <v>0</v>
      </c>
      <c r="G14" s="21">
        <f>IFERROR(__xludf.DUMMYFUNCTION("IMPORTRANGE(""https://docs.google.com/spreadsheets/d/1iV_nqIfkAdyO_vl_QARxWbfnGcK2KlCCS94aVJ2QbTI/edit#gid=1522333227"",""Rekap KTR!$E$10"")"),0.0)</f>
        <v>0</v>
      </c>
      <c r="H14" s="21">
        <f>IFERROR(__xludf.DUMMYFUNCTION("IMPORTRANGE(""https://docs.google.com/spreadsheets/d/1iV_nqIfkAdyO_vl_QARxWbfnGcK2KlCCS94aVJ2QbTI/edit#gid=1522333227"",""Rekap KTR!$E$11"")"),0.0)</f>
        <v>0</v>
      </c>
      <c r="I14" s="21">
        <f>IFERROR(__xludf.DUMMYFUNCTION("IMPORTRANGE(""https://docs.google.com/spreadsheets/d/1iV_nqIfkAdyO_vl_QARxWbfnGcK2KlCCS94aVJ2QbTI/edit#gid=1522333227"",""Rekap KTR!$E$12"")"),0.0)</f>
        <v>0</v>
      </c>
    </row>
    <row r="15">
      <c r="B15" s="20" t="str">
        <f>'SPM-Uspro'!$C$19</f>
        <v>#REF!</v>
      </c>
      <c r="C15" s="21">
        <f>IFERROR(__xludf.DUMMYFUNCTION("IMPORTRANGE(""https://docs.google.com/spreadsheets/d/1zz70Lj6oBg1MOPSG6KJcsMeqBNtXMHYICRkg7kpt_d0/edit#gid=1892753874"",""Rekap KTR!$E$6"")"),9.0)</f>
        <v>9</v>
      </c>
      <c r="D15" s="21">
        <f>IFERROR(__xludf.DUMMYFUNCTION("IMPORTRANGE(""https://docs.google.com/spreadsheets/d/1zz70Lj6oBg1MOPSG6KJcsMeqBNtXMHYICRkg7kpt_d0/edit#gid=1892753874"",""Rekap KTR!$E$7"")"),47.0)</f>
        <v>47</v>
      </c>
      <c r="E15" s="21">
        <f>IFERROR(__xludf.DUMMYFUNCTION("IMPORTRANGE(""https://docs.google.com/spreadsheets/d/1zz70Lj6oBg1MOPSG6KJcsMeqBNtXMHYICRkg7kpt_d0/edit#gid=1892753874"",""Rekap KTR!$E$8"")"),29.0)</f>
        <v>29</v>
      </c>
      <c r="F15" s="21">
        <f>IFERROR(__xludf.DUMMYFUNCTION("IMPORTRANGE(""https://docs.google.com/spreadsheets/d/1zz70Lj6oBg1MOPSG6KJcsMeqBNtXMHYICRkg7kpt_d0/edit#gid=1892753874"",""Rekap KTR!$E$9"")"),3.0)</f>
        <v>3</v>
      </c>
      <c r="G15" s="21">
        <f>IFERROR(__xludf.DUMMYFUNCTION("IMPORTRANGE(""https://docs.google.com/spreadsheets/d/1zz70Lj6oBg1MOPSG6KJcsMeqBNtXMHYICRkg7kpt_d0/edit#gid=1892753874"",""Rekap KTR!$E$10"")"),1.0)</f>
        <v>1</v>
      </c>
      <c r="H15" s="21">
        <f>IFERROR(__xludf.DUMMYFUNCTION("IMPORTRANGE(""https://docs.google.com/spreadsheets/d/1zz70Lj6oBg1MOPSG6KJcsMeqBNtXMHYICRkg7kpt_d0/edit#gid=1892753874"",""Rekap KTR!$E$11"")"),4.0)</f>
        <v>4</v>
      </c>
      <c r="I15" s="21">
        <f>IFERROR(__xludf.DUMMYFUNCTION("IMPORTRANGE(""https://docs.google.com/spreadsheets/d/1zz70Lj6oBg1MOPSG6KJcsMeqBNtXMHYICRkg7kpt_d0/edit#gid=1892753874"",""Rekap KTR!$E$12"")"),4.0)</f>
        <v>4</v>
      </c>
    </row>
    <row r="16">
      <c r="B16" s="20" t="str">
        <f>'SPM-Uspro'!$C$20</f>
        <v>#REF!</v>
      </c>
      <c r="C16" s="21">
        <f>IFERROR(__xludf.DUMMYFUNCTION("IMPORTRANGE(""https://docs.google.com/spreadsheets/d/1773f1iHRnXhbrVjAHR7zUpu3neZdvtp1a2ikB9LJu8U/edit#gid=1522333227"",""Rekap KTR!$E$6"")"),39.0)</f>
        <v>39</v>
      </c>
      <c r="D16" s="21">
        <f>IFERROR(__xludf.DUMMYFUNCTION("IMPORTRANGE(""https://docs.google.com/spreadsheets/d/1773f1iHRnXhbrVjAHR7zUpu3neZdvtp1a2ikB9LJu8U/edit#gid=1522333227"",""Rekap KTR!$E$7"")"),43.0)</f>
        <v>43</v>
      </c>
      <c r="E16" s="21">
        <f>IFERROR(__xludf.DUMMYFUNCTION("IMPORTRANGE(""https://docs.google.com/spreadsheets/d/1773f1iHRnXhbrVjAHR7zUpu3neZdvtp1a2ikB9LJu8U/edit#gid=1522333227"",""Rekap KTR!$E$8"")"),32.0)</f>
        <v>32</v>
      </c>
      <c r="F16" s="21">
        <f>IFERROR(__xludf.DUMMYFUNCTION("IMPORTRANGE(""https://docs.google.com/spreadsheets/d/1773f1iHRnXhbrVjAHR7zUpu3neZdvtp1a2ikB9LJu8U/edit#gid=1522333227"",""Rekap KTR!$E$9"")"),21.0)</f>
        <v>21</v>
      </c>
      <c r="G16" s="21">
        <f>IFERROR(__xludf.DUMMYFUNCTION("IMPORTRANGE(""https://docs.google.com/spreadsheets/d/1773f1iHRnXhbrVjAHR7zUpu3neZdvtp1a2ikB9LJu8U/edit#gid=1522333227"",""Rekap KTR!$E$10"")"),0.0)</f>
        <v>0</v>
      </c>
      <c r="H16" s="21">
        <f>IFERROR(__xludf.DUMMYFUNCTION("IMPORTRANGE(""https://docs.google.com/spreadsheets/d/1773f1iHRnXhbrVjAHR7zUpu3neZdvtp1a2ikB9LJu8U/edit#gid=1522333227"",""Rekap KTR!$E$11"")"),16.0)</f>
        <v>16</v>
      </c>
      <c r="I16" s="21">
        <f>IFERROR(__xludf.DUMMYFUNCTION("IMPORTRANGE(""https://docs.google.com/spreadsheets/d/1773f1iHRnXhbrVjAHR7zUpu3neZdvtp1a2ikB9LJu8U/edit#gid=1522333227"",""Rekap KTR!$E$12"")"),0.0)</f>
        <v>0</v>
      </c>
    </row>
    <row r="17">
      <c r="B17" s="20" t="str">
        <f>'SPM-Uspro'!$C$21</f>
        <v>#REF!</v>
      </c>
      <c r="C17" s="21">
        <f>IFERROR(__xludf.DUMMYFUNCTION("IMPORTRANGE(""https://docs.google.com/spreadsheets/d/10iNzN1LqaStEosZKEbqcoOm3IdodNsG31q_nR0Y6WGo/edit#gid=1522333227"",""Rekap KTR!$E$6"")"),1.0)</f>
        <v>1</v>
      </c>
      <c r="D17" s="21">
        <f>IFERROR(__xludf.DUMMYFUNCTION("IMPORTRANGE(""https://docs.google.com/spreadsheets/d/10iNzN1LqaStEosZKEbqcoOm3IdodNsG31q_nR0Y6WGo/edit#gid=1522333227"",""Rekap KTR!$E$7"")"),24.0)</f>
        <v>24</v>
      </c>
      <c r="E17" s="21">
        <f>IFERROR(__xludf.DUMMYFUNCTION("IMPORTRANGE(""https://docs.google.com/spreadsheets/d/10iNzN1LqaStEosZKEbqcoOm3IdodNsG31q_nR0Y6WGo/edit#gid=1522333227"",""Rekap KTR!$E$8"")"),2.0)</f>
        <v>2</v>
      </c>
      <c r="F17" s="21">
        <f>IFERROR(__xludf.DUMMYFUNCTION("IMPORTRANGE(""https://docs.google.com/spreadsheets/d/10iNzN1LqaStEosZKEbqcoOm3IdodNsG31q_nR0Y6WGo/edit#gid=1522333227"",""Rekap KTR!$E$9"")"),3.0)</f>
        <v>3</v>
      </c>
      <c r="G17" s="21">
        <f>IFERROR(__xludf.DUMMYFUNCTION("IMPORTRANGE(""https://docs.google.com/spreadsheets/d/10iNzN1LqaStEosZKEbqcoOm3IdodNsG31q_nR0Y6WGo/edit#gid=1522333227"",""Rekap KTR!$E$10"")"),0.0)</f>
        <v>0</v>
      </c>
      <c r="H17" s="21">
        <f>IFERROR(__xludf.DUMMYFUNCTION("IMPORTRANGE(""https://docs.google.com/spreadsheets/d/10iNzN1LqaStEosZKEbqcoOm3IdodNsG31q_nR0Y6WGo/edit#gid=1522333227"",""Rekap KTR!$E$11"")"),2.0)</f>
        <v>2</v>
      </c>
      <c r="I17" s="21">
        <f>IFERROR(__xludf.DUMMYFUNCTION("IMPORTRANGE(""https://docs.google.com/spreadsheets/d/10iNzN1LqaStEosZKEbqcoOm3IdodNsG31q_nR0Y6WGo/edit#gid=1522333227"",""Rekap KTR!$E$12"")"),1.0)</f>
        <v>1</v>
      </c>
    </row>
    <row r="18">
      <c r="B18" s="20" t="str">
        <f>'SPM-Uspro'!$C$22</f>
        <v>#REF!</v>
      </c>
      <c r="C18" s="21">
        <f>IFERROR(__xludf.DUMMYFUNCTION("IMPORTRANGE(""https://docs.google.com/spreadsheets/d/17PsIU8VcCQeO2M4DM42K9vv32GkafaaF1LxQevQ8tAQ/edit#gid=1892753874"",""Rekap KTR!$E$6"")"),2.0)</f>
        <v>2</v>
      </c>
      <c r="D18" s="21">
        <f>IFERROR(__xludf.DUMMYFUNCTION("IMPORTRANGE(""https://docs.google.com/spreadsheets/d/17PsIU8VcCQeO2M4DM42K9vv32GkafaaF1LxQevQ8tAQ/edit#gid=1892753874"",""Rekap KTR!$E$7"")"),21.0)</f>
        <v>21</v>
      </c>
      <c r="E18" s="21">
        <f>IFERROR(__xludf.DUMMYFUNCTION("IMPORTRANGE(""https://docs.google.com/spreadsheets/d/17PsIU8VcCQeO2M4DM42K9vv32GkafaaF1LxQevQ8tAQ/edit#gid=1892753874"",""Rekap KTR!$E$8"")"),17.0)</f>
        <v>17</v>
      </c>
      <c r="F18" s="21">
        <f>IFERROR(__xludf.DUMMYFUNCTION("IMPORTRANGE(""https://docs.google.com/spreadsheets/d/17PsIU8VcCQeO2M4DM42K9vv32GkafaaF1LxQevQ8tAQ/edit#gid=1892753874"",""Rekap KTR!$E$9"")"),0.0)</f>
        <v>0</v>
      </c>
      <c r="G18" s="21">
        <f>IFERROR(__xludf.DUMMYFUNCTION("IMPORTRANGE(""https://docs.google.com/spreadsheets/d/17PsIU8VcCQeO2M4DM42K9vv32GkafaaF1LxQevQ8tAQ/edit#gid=1892753874"",""Rekap KTR!$E$10"")"),0.0)</f>
        <v>0</v>
      </c>
      <c r="H18" s="21">
        <f>IFERROR(__xludf.DUMMYFUNCTION("IMPORTRANGE(""https://docs.google.com/spreadsheets/d/17PsIU8VcCQeO2M4DM42K9vv32GkafaaF1LxQevQ8tAQ/edit#gid=1892753874"",""Rekap KTR!$E$11"")"),0.0)</f>
        <v>0</v>
      </c>
      <c r="I18" s="21">
        <f>IFERROR(__xludf.DUMMYFUNCTION("IMPORTRANGE(""https://docs.google.com/spreadsheets/d/17PsIU8VcCQeO2M4DM42K9vv32GkafaaF1LxQevQ8tAQ/edit#gid=1892753874"",""Rekap KTR!$E$12"")"),0.0)</f>
        <v>0</v>
      </c>
    </row>
    <row r="19">
      <c r="B19" s="20" t="str">
        <f>'SPM-Uspro'!$C$23</f>
        <v>#REF!</v>
      </c>
      <c r="C19" s="21">
        <f>IFERROR(__xludf.DUMMYFUNCTION("IMPORTRANGE(""https://docs.google.com/spreadsheets/d/1d0Y9C6M4-a1TT0nIK2Gc4IXnbVyxoBB3v7o1biNGAwY/edit#gid=1892753874"",""Rekap KTR!$E$6"")"),6.0)</f>
        <v>6</v>
      </c>
      <c r="D19" s="21">
        <f>IFERROR(__xludf.DUMMYFUNCTION("IMPORTRANGE(""https://docs.google.com/spreadsheets/d/1d0Y9C6M4-a1TT0nIK2Gc4IXnbVyxoBB3v7o1biNGAwY/edit#gid=1892753874"",""Rekap KTR!$E$7"")"),27.0)</f>
        <v>27</v>
      </c>
      <c r="E19" s="21">
        <f>IFERROR(__xludf.DUMMYFUNCTION("IMPORTRANGE(""https://docs.google.com/spreadsheets/d/1d0Y9C6M4-a1TT0nIK2Gc4IXnbVyxoBB3v7o1biNGAwY/edit#gid=1892753874"",""Rekap KTR!$E$8"")"),7.0)</f>
        <v>7</v>
      </c>
      <c r="F19" s="21">
        <f>IFERROR(__xludf.DUMMYFUNCTION("IMPORTRANGE(""https://docs.google.com/spreadsheets/d/1d0Y9C6M4-a1TT0nIK2Gc4IXnbVyxoBB3v7o1biNGAwY/edit#gid=1892753874"",""Rekap KTR!$E$9"")"),0.0)</f>
        <v>0</v>
      </c>
      <c r="G19" s="21">
        <f>IFERROR(__xludf.DUMMYFUNCTION("IMPORTRANGE(""https://docs.google.com/spreadsheets/d/1d0Y9C6M4-a1TT0nIK2Gc4IXnbVyxoBB3v7o1biNGAwY/edit#gid=1892753874"",""Rekap KTR!$E$10"")"),0.0)</f>
        <v>0</v>
      </c>
      <c r="H19" s="21">
        <f>IFERROR(__xludf.DUMMYFUNCTION("IMPORTRANGE(""https://docs.google.com/spreadsheets/d/1d0Y9C6M4-a1TT0nIK2Gc4IXnbVyxoBB3v7o1biNGAwY/edit#gid=1892753874"",""Rekap KTR!$E$11"")"),0.0)</f>
        <v>0</v>
      </c>
      <c r="I19" s="21">
        <f>IFERROR(__xludf.DUMMYFUNCTION("IMPORTRANGE(""https://docs.google.com/spreadsheets/d/1d0Y9C6M4-a1TT0nIK2Gc4IXnbVyxoBB3v7o1biNGAwY/edit#gid=1892753874"",""Rekap KTR!$E$12"")"),0.0)</f>
        <v>0</v>
      </c>
    </row>
    <row r="20">
      <c r="B20" s="20" t="str">
        <f>'SPM-Uspro'!$C$24</f>
        <v>#REF!</v>
      </c>
      <c r="C20" s="21">
        <f>IFERROR(__xludf.DUMMYFUNCTION("IMPORTRANGE(""https://docs.google.com/spreadsheets/d/1fXA1yQzUNddp7fjR2KF22o4rRJu9lP9Ja9Oi1mRbg_E/edit#gid=1892753874"",""Rekap KTR!$E$6"")"),2.0)</f>
        <v>2</v>
      </c>
      <c r="D20" s="21">
        <f>IFERROR(__xludf.DUMMYFUNCTION("IMPORTRANGE(""https://docs.google.com/spreadsheets/d/1fXA1yQzUNddp7fjR2KF22o4rRJu9lP9Ja9Oi1mRbg_E/edit#gid=1892753874"",""Rekap KTR!$E$7"")"),31.0)</f>
        <v>31</v>
      </c>
      <c r="E20" s="21">
        <f>IFERROR(__xludf.DUMMYFUNCTION("IMPORTRANGE(""https://docs.google.com/spreadsheets/d/1fXA1yQzUNddp7fjR2KF22o4rRJu9lP9Ja9Oi1mRbg_E/edit#gid=1892753874"",""Rekap KTR!$E$8"")"),29.0)</f>
        <v>29</v>
      </c>
      <c r="F20" s="21">
        <f>IFERROR(__xludf.DUMMYFUNCTION("IMPORTRANGE(""https://docs.google.com/spreadsheets/d/1fXA1yQzUNddp7fjR2KF22o4rRJu9lP9Ja9Oi1mRbg_E/edit#gid=1892753874"",""Rekap KTR!$E$9"")"),19.0)</f>
        <v>19</v>
      </c>
      <c r="G20" s="21">
        <f>IFERROR(__xludf.DUMMYFUNCTION("IMPORTRANGE(""https://docs.google.com/spreadsheets/d/1fXA1yQzUNddp7fjR2KF22o4rRJu9lP9Ja9Oi1mRbg_E/edit#gid=1892753874"",""Rekap KTR!$E$10"")"),1.0)</f>
        <v>1</v>
      </c>
      <c r="H20" s="21">
        <f>IFERROR(__xludf.DUMMYFUNCTION("IMPORTRANGE(""https://docs.google.com/spreadsheets/d/1fXA1yQzUNddp7fjR2KF22o4rRJu9lP9Ja9Oi1mRbg_E/edit#gid=1892753874"",""Rekap KTR!$E$11"")"),1.0)</f>
        <v>1</v>
      </c>
      <c r="I20" s="21">
        <f>IFERROR(__xludf.DUMMYFUNCTION("IMPORTRANGE(""https://docs.google.com/spreadsheets/d/1fXA1yQzUNddp7fjR2KF22o4rRJu9lP9Ja9Oi1mRbg_E/edit#gid=1892753874"",""Rekap KTR!$E$12"")"),1.0)</f>
        <v>1</v>
      </c>
    </row>
    <row r="21" ht="15.75" customHeight="1">
      <c r="B21" s="20" t="str">
        <f>'SPM-Uspro'!$C$25</f>
        <v>#REF!</v>
      </c>
      <c r="C21" s="21">
        <f>IFERROR(__xludf.DUMMYFUNCTION("IMPORTRANGE(""https://docs.google.com/spreadsheets/d/155aL1qCqCleHwMP0Y8LT5akEbK27R0RIka-lAkeoeEo/edit#gid=1892753874"",""Rekap KTR!$E$6"")"),10.0)</f>
        <v>10</v>
      </c>
      <c r="D21" s="21">
        <f>IFERROR(__xludf.DUMMYFUNCTION("IMPORTRANGE(""https://docs.google.com/spreadsheets/d/155aL1qCqCleHwMP0Y8LT5akEbK27R0RIka-lAkeoeEo/edit#gid=1892753874"",""Rekap KTR!$E$7"")"),47.0)</f>
        <v>47</v>
      </c>
      <c r="E21" s="21">
        <f>IFERROR(__xludf.DUMMYFUNCTION("IMPORTRANGE(""https://docs.google.com/spreadsheets/d/155aL1qCqCleHwMP0Y8LT5akEbK27R0RIka-lAkeoeEo/edit#gid=1892753874"",""Rekap KTR!$E$8"")"),5.0)</f>
        <v>5</v>
      </c>
      <c r="F21" s="21" t="str">
        <f>IFERROR(__xludf.DUMMYFUNCTION("IMPORTRANGE(""https://docs.google.com/spreadsheets/d/155aL1qCqCleHwMP0Y8LT5akEbK27R0RIka-lAkeoeEo/edit#gid=1892753874"",""Rekap KTR!$E$9"")"),"")</f>
        <v/>
      </c>
      <c r="G21" s="21" t="str">
        <f>IFERROR(__xludf.DUMMYFUNCTION("IMPORTRANGE(""https://docs.google.com/spreadsheets/d/155aL1qCqCleHwMP0Y8LT5akEbK27R0RIka-lAkeoeEo/edit#gid=1892753874"",""Rekap KTR!$E$10"")"),"")</f>
        <v/>
      </c>
      <c r="H21" s="21" t="str">
        <f>IFERROR(__xludf.DUMMYFUNCTION("IMPORTRANGE(""https://docs.google.com/spreadsheets/d/155aL1qCqCleHwMP0Y8LT5akEbK27R0RIka-lAkeoeEo/edit#gid=1892753874"",""Rekap KTR!$E$11"")"),"")</f>
        <v/>
      </c>
      <c r="I21" s="21" t="str">
        <f>IFERROR(__xludf.DUMMYFUNCTION("IMPORTRANGE(""https://docs.google.com/spreadsheets/d/155aL1qCqCleHwMP0Y8LT5akEbK27R0RIka-lAkeoeEo/edit#gid=1892753874"",""Rekap KTR!$E$12"")"),"")</f>
        <v/>
      </c>
    </row>
    <row r="22" ht="15.75" customHeight="1">
      <c r="B22" s="20" t="str">
        <f>'SPM-Uspro'!$C$26</f>
        <v>#REF!</v>
      </c>
      <c r="C22" s="21">
        <f>IFERROR(__xludf.DUMMYFUNCTION("IMPORTRANGE(""https://docs.google.com/spreadsheets/d/13FRR1udp0c0o6Nmp_8YHiON78PXr-L4FqQQ028JcBYY/edit#gid=1522333227"",""Rekap KTR!$E$6"")"),7.0)</f>
        <v>7</v>
      </c>
      <c r="D22" s="21">
        <f>IFERROR(__xludf.DUMMYFUNCTION("IMPORTRANGE(""https://docs.google.com/spreadsheets/d/13FRR1udp0c0o6Nmp_8YHiON78PXr-L4FqQQ028JcBYY/edit#gid=1522333227"",""Rekap KTR!$E$7"")"),31.0)</f>
        <v>31</v>
      </c>
      <c r="E22" s="21">
        <f>IFERROR(__xludf.DUMMYFUNCTION("IMPORTRANGE(""https://docs.google.com/spreadsheets/d/13FRR1udp0c0o6Nmp_8YHiON78PXr-L4FqQQ028JcBYY/edit#gid=1522333227"",""Rekap KTR!$E$8"")"),2.0)</f>
        <v>2</v>
      </c>
      <c r="F22" s="21" t="str">
        <f>IFERROR(__xludf.DUMMYFUNCTION("IMPORTRANGE(""https://docs.google.com/spreadsheets/d/13FRR1udp0c0o6Nmp_8YHiON78PXr-L4FqQQ028JcBYY/edit#gid=1522333227"",""Rekap KTR!$E$9"")"),"")</f>
        <v/>
      </c>
      <c r="G22" s="21" t="str">
        <f>IFERROR(__xludf.DUMMYFUNCTION("IMPORTRANGE(""https://docs.google.com/spreadsheets/d/13FRR1udp0c0o6Nmp_8YHiON78PXr-L4FqQQ028JcBYY/edit#gid=1522333227"",""Rekap KTR!$E$10"")"),"")</f>
        <v/>
      </c>
      <c r="H22" s="21" t="str">
        <f>IFERROR(__xludf.DUMMYFUNCTION("IMPORTRANGE(""https://docs.google.com/spreadsheets/d/13FRR1udp0c0o6Nmp_8YHiON78PXr-L4FqQQ028JcBYY/edit#gid=1522333227"",""Rekap KTR!$E$11"")"),"")</f>
        <v/>
      </c>
      <c r="I22" s="21" t="str">
        <f>IFERROR(__xludf.DUMMYFUNCTION("IMPORTRANGE(""https://docs.google.com/spreadsheets/d/13FRR1udp0c0o6Nmp_8YHiON78PXr-L4FqQQ028JcBYY/edit#gid=1522333227"",""Rekap KTR!$E$12"")"),"")</f>
        <v/>
      </c>
    </row>
    <row r="23" ht="15.75" customHeight="1">
      <c r="B23" s="20" t="str">
        <f>'SPM-Uspro'!$C$27</f>
        <v>#REF!</v>
      </c>
      <c r="C23" s="21">
        <f>IFERROR(__xludf.DUMMYFUNCTION("IMPORTRANGE(""https://docs.google.com/spreadsheets/d/1PVwe4VvYfj1Vj424c9kO9TcQogsBM6TpXMbFve9togc/edit#gid=1522333227"",""Rekap KTR!$E$6"")"),5.0)</f>
        <v>5</v>
      </c>
      <c r="D23" s="21">
        <f>IFERROR(__xludf.DUMMYFUNCTION("IMPORTRANGE(""https://docs.google.com/spreadsheets/d/1PVwe4VvYfj1Vj424c9kO9TcQogsBM6TpXMbFve9togc/edit#gid=1522333227"",""Rekap KTR!$E$7"")"),38.0)</f>
        <v>38</v>
      </c>
      <c r="E23" s="21">
        <f>IFERROR(__xludf.DUMMYFUNCTION("IMPORTRANGE(""https://docs.google.com/spreadsheets/d/1PVwe4VvYfj1Vj424c9kO9TcQogsBM6TpXMbFve9togc/edit#gid=1522333227"",""Rekap KTR!$E$8"")"),17.0)</f>
        <v>17</v>
      </c>
      <c r="F23" s="21">
        <f>IFERROR(__xludf.DUMMYFUNCTION("IMPORTRANGE(""https://docs.google.com/spreadsheets/d/1PVwe4VvYfj1Vj424c9kO9TcQogsBM6TpXMbFve9togc/edit#gid=1522333227"",""Rekap KTR!$E$9"")"),0.0)</f>
        <v>0</v>
      </c>
      <c r="G23" s="21">
        <f>IFERROR(__xludf.DUMMYFUNCTION("IMPORTRANGE(""https://docs.google.com/spreadsheets/d/1PVwe4VvYfj1Vj424c9kO9TcQogsBM6TpXMbFve9togc/edit#gid=1522333227"",""Rekap KTR!$E$10"")"),0.0)</f>
        <v>0</v>
      </c>
      <c r="H23" s="21">
        <f>IFERROR(__xludf.DUMMYFUNCTION("IMPORTRANGE(""https://docs.google.com/spreadsheets/d/1PVwe4VvYfj1Vj424c9kO9TcQogsBM6TpXMbFve9togc/edit#gid=1522333227"",""Rekap KTR!$E$11"")"),0.0)</f>
        <v>0</v>
      </c>
      <c r="I23" s="21">
        <f>IFERROR(__xludf.DUMMYFUNCTION("IMPORTRANGE(""https://docs.google.com/spreadsheets/d/1PVwe4VvYfj1Vj424c9kO9TcQogsBM6TpXMbFve9togc/edit#gid=1522333227"",""Rekap KTR!$E$12"")"),0.0)</f>
        <v>0</v>
      </c>
    </row>
    <row r="24" ht="15.75" customHeight="1">
      <c r="B24" s="20" t="str">
        <f>'SPM-Uspro'!$C$28</f>
        <v>#REF!</v>
      </c>
      <c r="C24" s="21" t="str">
        <f>IFERROR(__xludf.DUMMYFUNCTION("IMPORTRANGE(""https://docs.google.com/spreadsheets/d/15JUTNcWxWGx3Ha8qvwbxgnbDbT4v7N3vZYvqPZ68_Xg/edit#gid=1892753874"",""Rekap KTR!$E$6"")"),"")</f>
        <v/>
      </c>
      <c r="D24" s="21">
        <f>IFERROR(__xludf.DUMMYFUNCTION("IMPORTRANGE(""https://docs.google.com/spreadsheets/d/15JUTNcWxWGx3Ha8qvwbxgnbDbT4v7N3vZYvqPZ68_Xg/edit#gid=1892753874"",""Rekap KTR!$E$7"")"),19.0)</f>
        <v>19</v>
      </c>
      <c r="E24" s="21" t="str">
        <f>IFERROR(__xludf.DUMMYFUNCTION("IMPORTRANGE(""https://docs.google.com/spreadsheets/d/15JUTNcWxWGx3Ha8qvwbxgnbDbT4v7N3vZYvqPZ68_Xg/edit#gid=1892753874"",""Rekap KTR!$E$8"")"),"")</f>
        <v/>
      </c>
      <c r="F24" s="21" t="str">
        <f>IFERROR(__xludf.DUMMYFUNCTION("IMPORTRANGE(""https://docs.google.com/spreadsheets/d/15JUTNcWxWGx3Ha8qvwbxgnbDbT4v7N3vZYvqPZ68_Xg/edit#gid=1892753874"",""Rekap KTR!$E$9"")"),"")</f>
        <v/>
      </c>
      <c r="G24" s="21" t="str">
        <f>IFERROR(__xludf.DUMMYFUNCTION("IMPORTRANGE(""https://docs.google.com/spreadsheets/d/15JUTNcWxWGx3Ha8qvwbxgnbDbT4v7N3vZYvqPZ68_Xg/edit#gid=1892753874"",""Rekap KTR!$E$10"")"),"")</f>
        <v/>
      </c>
      <c r="H24" s="21" t="str">
        <f>IFERROR(__xludf.DUMMYFUNCTION("IMPORTRANGE(""https://docs.google.com/spreadsheets/d/15JUTNcWxWGx3Ha8qvwbxgnbDbT4v7N3vZYvqPZ68_Xg/edit#gid=1892753874"",""Rekap KTR!$E$11"")"),"")</f>
        <v/>
      </c>
      <c r="I24" s="21" t="str">
        <f>IFERROR(__xludf.DUMMYFUNCTION("IMPORTRANGE(""https://docs.google.com/spreadsheets/d/15JUTNcWxWGx3Ha8qvwbxgnbDbT4v7N3vZYvqPZ68_Xg/edit#gid=1892753874"",""Rekap KTR!$E$12"")"),"")</f>
        <v/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A4:B4"/>
    <mergeCell ref="B6:B8"/>
    <mergeCell ref="C6:I6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6.67"/>
    <col customWidth="1" min="2" max="2" width="11.22"/>
    <col customWidth="1" min="3" max="3" width="11.78"/>
    <col customWidth="1" min="4" max="5" width="11.22"/>
    <col customWidth="1" min="6" max="6" width="12.33"/>
    <col customWidth="1" min="8" max="8" width="13.89"/>
    <col customWidth="1" min="9" max="9" width="13.56"/>
  </cols>
  <sheetData>
    <row r="1">
      <c r="A1" s="1" t="s">
        <v>0</v>
      </c>
      <c r="B1" s="2"/>
      <c r="C1" s="2"/>
      <c r="D1" s="22" t="s">
        <v>13</v>
      </c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</row>
    <row r="2">
      <c r="A2" s="5"/>
      <c r="D2" s="5"/>
      <c r="K2" s="3"/>
      <c r="L2" s="4"/>
      <c r="M2" s="4"/>
      <c r="N2" s="4"/>
      <c r="O2" s="4"/>
      <c r="P2" s="4"/>
    </row>
    <row r="3">
      <c r="A3" s="5"/>
      <c r="D3" s="5"/>
      <c r="K3" s="3"/>
      <c r="L3" s="4"/>
      <c r="M3" s="4"/>
      <c r="N3" s="4"/>
      <c r="O3" s="4"/>
      <c r="P3" s="4"/>
    </row>
    <row r="4" ht="24.75" customHeight="1">
      <c r="A4" s="7" t="s">
        <v>3</v>
      </c>
      <c r="B4" s="8"/>
      <c r="C4" s="8"/>
      <c r="D4" s="5"/>
      <c r="K4" s="3"/>
      <c r="L4" s="4"/>
      <c r="M4" s="4"/>
      <c r="N4" s="4"/>
      <c r="O4" s="4"/>
      <c r="P4" s="4"/>
    </row>
    <row r="6" ht="22.5" customHeight="1">
      <c r="A6" s="23" t="s">
        <v>14</v>
      </c>
      <c r="B6" s="12"/>
      <c r="C6" s="12"/>
      <c r="D6" s="12"/>
      <c r="E6" s="12"/>
      <c r="F6" s="12"/>
      <c r="G6" s="12"/>
      <c r="H6" s="12"/>
      <c r="I6" s="12"/>
      <c r="J6" s="13"/>
      <c r="K6" s="24"/>
      <c r="L6" s="24"/>
      <c r="M6" s="24"/>
      <c r="N6" s="24"/>
      <c r="O6" s="24"/>
      <c r="P6" s="24"/>
    </row>
    <row r="7">
      <c r="A7" s="25" t="s">
        <v>4</v>
      </c>
      <c r="B7" s="25" t="s">
        <v>15</v>
      </c>
      <c r="C7" s="25" t="s">
        <v>16</v>
      </c>
      <c r="D7" s="25" t="s">
        <v>17</v>
      </c>
      <c r="E7" s="26" t="s">
        <v>18</v>
      </c>
      <c r="F7" s="26" t="s">
        <v>19</v>
      </c>
      <c r="G7" s="26" t="s">
        <v>20</v>
      </c>
      <c r="H7" s="27" t="s">
        <v>21</v>
      </c>
      <c r="I7" s="27" t="s">
        <v>22</v>
      </c>
      <c r="J7" s="27" t="s">
        <v>23</v>
      </c>
    </row>
    <row r="8" ht="15.0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>
      <c r="A9" s="17"/>
      <c r="B9" s="17"/>
      <c r="C9" s="17"/>
      <c r="D9" s="17"/>
      <c r="E9" s="17"/>
      <c r="F9" s="17"/>
      <c r="G9" s="17"/>
      <c r="H9" s="17"/>
      <c r="I9" s="17"/>
      <c r="J9" s="17"/>
    </row>
    <row r="10">
      <c r="A10" s="20" t="str">
        <f>'SPM-Uspro'!$C$13</f>
        <v>#REF!</v>
      </c>
      <c r="B10" s="21">
        <f>IFERROR(__xludf.DUMMYFUNCTION("IMPORTRANGE(""https://docs.google.com/spreadsheets/d/1P0UTisakTE5EAx-MYEjY2DmhSnLNqqRm6P3NrlYXL2I/edit#gid=1892753874"",""Rekap UBM!$B$9"")"),1.0)</f>
        <v>1</v>
      </c>
      <c r="C10" s="21">
        <f>IFERROR(__xludf.DUMMYFUNCTION("IMPORTRANGE(""https://docs.google.com/spreadsheets/d/1P0UTisakTE5EAx-MYEjY2DmhSnLNqqRm6P3NrlYXL2I/edit#gid=1892753874"",""Rekap UBM!$C$9"")"),1.0)</f>
        <v>1</v>
      </c>
      <c r="D10" s="28">
        <f t="shared" ref="D10:D25" si="1">C10/B10*100</f>
        <v>100</v>
      </c>
      <c r="E10" s="21" t="str">
        <f>IFERROR(__xludf.DUMMYFUNCTION("IMPORTRANGE(""https://docs.google.com/spreadsheets/d/1P0UTisakTE5EAx-MYEjY2DmhSnLNqqRm6P3NrlYXL2I/edit#gid=1892753874"",""Rekap UBM!$E$9"")"),"")</f>
        <v/>
      </c>
      <c r="F10" s="21" t="str">
        <f>IFERROR(__xludf.DUMMYFUNCTION("IMPORTRANGE(""https://docs.google.com/spreadsheets/d/1P0UTisakTE5EAx-MYEjY2DmhSnLNqqRm6P3NrlYXL2I/edit#gid=1892753874"",""Rekap UBM!$F$9"")"),"")</f>
        <v/>
      </c>
      <c r="G10" s="28" t="str">
        <f t="shared" ref="G10:G25" si="2">F10/E10*100</f>
        <v>#DIV/0!</v>
      </c>
      <c r="H10" s="21" t="str">
        <f>IFERROR(__xludf.DUMMYFUNCTION("IMPORTRANGE(""https://docs.google.com/spreadsheets/d/1P0UTisakTE5EAx-MYEjY2DmhSnLNqqRm6P3NrlYXL2I/edit#gid=1892753874"",""Rekap UBM!$H$9"")"),"")</f>
        <v/>
      </c>
      <c r="I10" s="21" t="str">
        <f>IFERROR(__xludf.DUMMYFUNCTION("IMPORTRANGE(""https://docs.google.com/spreadsheets/d/1P0UTisakTE5EAx-MYEjY2DmhSnLNqqRm6P3NrlYXL2I/edit#gid=1892753874"",""Rekap UBM!$I$9"")"),"")</f>
        <v/>
      </c>
      <c r="J10" s="28" t="str">
        <f t="shared" ref="J10:J25" si="3">I10/H10*100</f>
        <v>#DIV/0!</v>
      </c>
    </row>
    <row r="11">
      <c r="A11" s="20" t="str">
        <f>'SPM-Uspro'!$C$14</f>
        <v>#REF!</v>
      </c>
      <c r="B11" s="21">
        <f>IFERROR(__xludf.DUMMYFUNCTION("IMPORTRANGE(""https://docs.google.com/spreadsheets/d/1jB-UnyPBzGq1HOZkIVtft_Wo28OEKcZNsVgS5r_boTE/edit#gid=1522333227"",""Rekap UBM!$B$9"")"),1.0)</f>
        <v>1</v>
      </c>
      <c r="C11" s="21">
        <f>IFERROR(__xludf.DUMMYFUNCTION("IMPORTRANGE(""https://docs.google.com/spreadsheets/d/1jB-UnyPBzGq1HOZkIVtft_Wo28OEKcZNsVgS5r_boTE/edit#gid=1522333227"",""Rekap UBM!$C$9"")"),1.0)</f>
        <v>1</v>
      </c>
      <c r="D11" s="28">
        <f t="shared" si="1"/>
        <v>100</v>
      </c>
      <c r="E11" s="21">
        <f>IFERROR(__xludf.DUMMYFUNCTION("IMPORTRANGE(""https://docs.google.com/spreadsheets/d/1jB-UnyPBzGq1HOZkIVtft_Wo28OEKcZNsVgS5r_boTE/edit#gid=1522333227"",""Rekap UBM!$E$9"")"),12.0)</f>
        <v>12</v>
      </c>
      <c r="F11" s="29">
        <f>IFERROR(__xludf.DUMMYFUNCTION("IMPORTRANGE(""https://docs.google.com/spreadsheets/d/1jB-UnyPBzGq1HOZkIVtft_Wo28OEKcZNsVgS5r_boTE/edit#gid=1522333227"",""Rekap UBM!$F$9"")"),12.0)</f>
        <v>12</v>
      </c>
      <c r="G11" s="28">
        <f t="shared" si="2"/>
        <v>100</v>
      </c>
      <c r="H11" s="29" t="str">
        <f>IFERROR(__xludf.DUMMYFUNCTION("IMPORTRANGE(""https://docs.google.com/spreadsheets/d/1jB-UnyPBzGq1HOZkIVtft_Wo28OEKcZNsVgS5r_boTE/edit#gid=1522333227"",""Rekap UBM!$H$9"")"),"")</f>
        <v/>
      </c>
      <c r="I11" s="29" t="str">
        <f>IFERROR(__xludf.DUMMYFUNCTION("IMPORTRANGE(""https://docs.google.com/spreadsheets/d/1jB-UnyPBzGq1HOZkIVtft_Wo28OEKcZNsVgS5r_boTE/edit#gid=1522333227"",""Rekap UBM!$I$9"")"),"")</f>
        <v/>
      </c>
      <c r="J11" s="28" t="str">
        <f t="shared" si="3"/>
        <v>#DIV/0!</v>
      </c>
    </row>
    <row r="12">
      <c r="A12" s="20" t="str">
        <f>'SPM-Uspro'!$C$15</f>
        <v>#REF!</v>
      </c>
      <c r="B12" s="21">
        <f>IFERROR(__xludf.DUMMYFUNCTION("IMPORTRANGE(""https://docs.google.com/spreadsheets/d/1gHFrRpJ5fnyxfJI-jxT5z1B1L7rSV8E5sIZEN90Rfhc/edit#gid=1522333227"",""Rekap UBM!$B$9"")"),1.0)</f>
        <v>1</v>
      </c>
      <c r="C12" s="21">
        <f>IFERROR(__xludf.DUMMYFUNCTION("IMPORTRANGE(""https://docs.google.com/spreadsheets/d/1gHFrRpJ5fnyxfJI-jxT5z1B1L7rSV8E5sIZEN90Rfhc/edit#gid=1522333227"",""Rekap UBM!$C$9"")"),1.0)</f>
        <v>1</v>
      </c>
      <c r="D12" s="28">
        <f t="shared" si="1"/>
        <v>100</v>
      </c>
      <c r="E12" s="21">
        <f>IFERROR(__xludf.DUMMYFUNCTION("IMPORTRANGE(""https://docs.google.com/spreadsheets/d/1gHFrRpJ5fnyxfJI-jxT5z1B1L7rSV8E5sIZEN90Rfhc/edit#gid=1522333227"",""Rekap UBM!$E$9"")"),3.0)</f>
        <v>3</v>
      </c>
      <c r="F12" s="29">
        <f>IFERROR(__xludf.DUMMYFUNCTION("IMPORTRANGE(""https://docs.google.com/spreadsheets/d/1gHFrRpJ5fnyxfJI-jxT5z1B1L7rSV8E5sIZEN90Rfhc/edit#gid=1522333227"",""Rekap UBM!$F$9"")"),3.0)</f>
        <v>3</v>
      </c>
      <c r="G12" s="28">
        <f t="shared" si="2"/>
        <v>100</v>
      </c>
      <c r="H12" s="29">
        <f>IFERROR(__xludf.DUMMYFUNCTION("IMPORTRANGE(""https://docs.google.com/spreadsheets/d/1gHFrRpJ5fnyxfJI-jxT5z1B1L7rSV8E5sIZEN90Rfhc/edit#gid=1522333227"",""Rekap UBM!$H$9"")"),6.0)</f>
        <v>6</v>
      </c>
      <c r="I12" s="29">
        <f>IFERROR(__xludf.DUMMYFUNCTION("IMPORTRANGE(""https://docs.google.com/spreadsheets/d/1gHFrRpJ5fnyxfJI-jxT5z1B1L7rSV8E5sIZEN90Rfhc/edit#gid=1522333227"",""Rekap UBM!$I$9"")"),6.0)</f>
        <v>6</v>
      </c>
      <c r="J12" s="28">
        <f t="shared" si="3"/>
        <v>100</v>
      </c>
    </row>
    <row r="13">
      <c r="A13" s="20" t="str">
        <f>'SPM-Uspro'!$C$16</f>
        <v>#REF!</v>
      </c>
      <c r="B13" s="21">
        <f>IFERROR(__xludf.DUMMYFUNCTION("IMPORTRANGE(""https://docs.google.com/spreadsheets/d/1saC2UP2JuYJ7WRPxjh8EMf_BSfGZ18Ous8sVKGLr-Ng/edit#gid=1892753874"",""Rekap UBM!$B$9"")"),1.0)</f>
        <v>1</v>
      </c>
      <c r="C13" s="21">
        <f>IFERROR(__xludf.DUMMYFUNCTION("IMPORTRANGE(""https://docs.google.com/spreadsheets/d/1saC2UP2JuYJ7WRPxjh8EMf_BSfGZ18Ous8sVKGLr-Ng/edit#gid=1892753874"",""Rekap UBM!$C$9"")"),1.0)</f>
        <v>1</v>
      </c>
      <c r="D13" s="28">
        <f t="shared" si="1"/>
        <v>100</v>
      </c>
      <c r="E13" s="21">
        <f>IFERROR(__xludf.DUMMYFUNCTION("IMPORTRANGE(""https://docs.google.com/spreadsheets/d/1saC2UP2JuYJ7WRPxjh8EMf_BSfGZ18Ous8sVKGLr-Ng/edit#gid=1892753874"",""Rekap UBM!$E$9"")"),3.0)</f>
        <v>3</v>
      </c>
      <c r="F13" s="29">
        <f>IFERROR(__xludf.DUMMYFUNCTION("IMPORTRANGE(""https://docs.google.com/spreadsheets/d/1saC2UP2JuYJ7WRPxjh8EMf_BSfGZ18Ous8sVKGLr-Ng/edit#gid=1892753874"",""Rekap UBM!$F$9"")"),0.0)</f>
        <v>0</v>
      </c>
      <c r="G13" s="28">
        <f t="shared" si="2"/>
        <v>0</v>
      </c>
      <c r="H13" s="29">
        <f>IFERROR(__xludf.DUMMYFUNCTION("IMPORTRANGE(""https://docs.google.com/spreadsheets/d/1saC2UP2JuYJ7WRPxjh8EMf_BSfGZ18Ous8sVKGLr-Ng/edit#gid=1892753874"",""Rekap UBM!$H$9"")"),5.0)</f>
        <v>5</v>
      </c>
      <c r="I13" s="29">
        <f>IFERROR(__xludf.DUMMYFUNCTION("IMPORTRANGE(""https://docs.google.com/spreadsheets/d/1saC2UP2JuYJ7WRPxjh8EMf_BSfGZ18Ous8sVKGLr-Ng/edit#gid=1892753874"",""Rekap UBM!$I$9"")"),0.0)</f>
        <v>0</v>
      </c>
      <c r="J13" s="28">
        <f t="shared" si="3"/>
        <v>0</v>
      </c>
    </row>
    <row r="14">
      <c r="A14" s="20" t="str">
        <f>'SPM-Uspro'!$C$17</f>
        <v>#REF!</v>
      </c>
      <c r="B14" s="21">
        <f>IFERROR(__xludf.DUMMYFUNCTION("IMPORTRANGE(""https://docs.google.com/spreadsheets/d/1ApPPV7RPuDI1EDOKjkoDXkV5Yd_NofeQTYTtAHUYGGw/edit#gid=1522333227"",""Rekap UBM!$B$9"")"),1.0)</f>
        <v>1</v>
      </c>
      <c r="C14" s="21">
        <f>IFERROR(__xludf.DUMMYFUNCTION("IMPORTRANGE(""https://docs.google.com/spreadsheets/d/1ApPPV7RPuDI1EDOKjkoDXkV5Yd_NofeQTYTtAHUYGGw/edit#gid=1522333227"",""Rekap UBM!$C$9"")"),1.0)</f>
        <v>1</v>
      </c>
      <c r="D14" s="28">
        <f t="shared" si="1"/>
        <v>100</v>
      </c>
      <c r="E14" s="21" t="str">
        <f>IFERROR(__xludf.DUMMYFUNCTION("IMPORTRANGE(""https://docs.google.com/spreadsheets/d/1ApPPV7RPuDI1EDOKjkoDXkV5Yd_NofeQTYTtAHUYGGw/edit#gid=1522333227"",""Rekap UBM!$E$9"")"),"")</f>
        <v/>
      </c>
      <c r="F14" s="29" t="str">
        <f>IFERROR(__xludf.DUMMYFUNCTION("IMPORTRANGE(""https://docs.google.com/spreadsheets/d/1ApPPV7RPuDI1EDOKjkoDXkV5Yd_NofeQTYTtAHUYGGw/edit#gid=1522333227"",""Rekap UBM!$F$9"")"),"")</f>
        <v/>
      </c>
      <c r="G14" s="28" t="str">
        <f t="shared" si="2"/>
        <v>#DIV/0!</v>
      </c>
      <c r="H14" s="29" t="str">
        <f>IFERROR(__xludf.DUMMYFUNCTION("IMPORTRANGE(""https://docs.google.com/spreadsheets/d/1ApPPV7RPuDI1EDOKjkoDXkV5Yd_NofeQTYTtAHUYGGw/edit#gid=1522333227"",""Rekap UBM!$H$9"")"),"")</f>
        <v/>
      </c>
      <c r="I14" s="29" t="str">
        <f>IFERROR(__xludf.DUMMYFUNCTION("IMPORTRANGE(""https://docs.google.com/spreadsheets/d/1ApPPV7RPuDI1EDOKjkoDXkV5Yd_NofeQTYTtAHUYGGw/edit#gid=1522333227"",""Rekap UBM!$I$9"")"),"")</f>
        <v/>
      </c>
      <c r="J14" s="28" t="str">
        <f t="shared" si="3"/>
        <v>#DIV/0!</v>
      </c>
    </row>
    <row r="15">
      <c r="A15" s="20" t="str">
        <f>'SPM-Uspro'!$C$18</f>
        <v>#REF!</v>
      </c>
      <c r="B15" s="21">
        <f>IFERROR(__xludf.DUMMYFUNCTION("IMPORTRANGE(""https://docs.google.com/spreadsheets/d/1iV_nqIfkAdyO_vl_QARxWbfnGcK2KlCCS94aVJ2QbTI/edit#gid=1522333227"",""Rekap UBM!$B$9"")"),1.0)</f>
        <v>1</v>
      </c>
      <c r="C15" s="21">
        <f>IFERROR(__xludf.DUMMYFUNCTION("IMPORTRANGE(""https://docs.google.com/spreadsheets/d/1iV_nqIfkAdyO_vl_QARxWbfnGcK2KlCCS94aVJ2QbTI/edit#gid=1522333227"",""Rekap UBM!$C$9"")"),1.0)</f>
        <v>1</v>
      </c>
      <c r="D15" s="28">
        <f t="shared" si="1"/>
        <v>100</v>
      </c>
      <c r="E15" s="21" t="str">
        <f>IFERROR(__xludf.DUMMYFUNCTION("IMPORTRANGE(""https://docs.google.com/spreadsheets/d/1iV_nqIfkAdyO_vl_QARxWbfnGcK2KlCCS94aVJ2QbTI/edit#gid=1522333227"",""Rekap UBM!$E$9"")"),"")</f>
        <v/>
      </c>
      <c r="F15" s="29" t="str">
        <f>IFERROR(__xludf.DUMMYFUNCTION("IMPORTRANGE(""https://docs.google.com/spreadsheets/d/1iV_nqIfkAdyO_vl_QARxWbfnGcK2KlCCS94aVJ2QbTI/edit#gid=1522333227"",""Rekap UBM!$F$9"")"),"")</f>
        <v/>
      </c>
      <c r="G15" s="28" t="str">
        <f t="shared" si="2"/>
        <v>#DIV/0!</v>
      </c>
      <c r="H15" s="29" t="str">
        <f>IFERROR(__xludf.DUMMYFUNCTION("IMPORTRANGE(""https://docs.google.com/spreadsheets/d/1iV_nqIfkAdyO_vl_QARxWbfnGcK2KlCCS94aVJ2QbTI/edit#gid=1522333227"",""Rekap UBM!$H$9"")"),"")</f>
        <v/>
      </c>
      <c r="I15" s="29" t="str">
        <f>IFERROR(__xludf.DUMMYFUNCTION("IMPORTRANGE(""https://docs.google.com/spreadsheets/d/1iV_nqIfkAdyO_vl_QARxWbfnGcK2KlCCS94aVJ2QbTI/edit#gid=1522333227"",""Rekap UBM!$I$9"")"),"")</f>
        <v/>
      </c>
      <c r="J15" s="28" t="str">
        <f t="shared" si="3"/>
        <v>#DIV/0!</v>
      </c>
    </row>
    <row r="16">
      <c r="A16" s="20" t="str">
        <f>'SPM-Uspro'!$C$19</f>
        <v>#REF!</v>
      </c>
      <c r="B16" s="21">
        <f>IFERROR(__xludf.DUMMYFUNCTION("IMPORTRANGE(""https://docs.google.com/spreadsheets/d/1zz70Lj6oBg1MOPSG6KJcsMeqBNtXMHYICRkg7kpt_d0/edit#gid=1892753874"",""Rekap UBM!$B$9"")"),1.0)</f>
        <v>1</v>
      </c>
      <c r="C16" s="21">
        <f>IFERROR(__xludf.DUMMYFUNCTION("IMPORTRANGE(""https://docs.google.com/spreadsheets/d/1zz70Lj6oBg1MOPSG6KJcsMeqBNtXMHYICRkg7kpt_d0/edit#gid=1892753874"",""Rekap UBM!$C$9"")"),1.0)</f>
        <v>1</v>
      </c>
      <c r="D16" s="28">
        <f t="shared" si="1"/>
        <v>100</v>
      </c>
      <c r="E16" s="21">
        <f>IFERROR(__xludf.DUMMYFUNCTION("IMPORTRANGE(""https://docs.google.com/spreadsheets/d/1zz70Lj6oBg1MOPSG6KJcsMeqBNtXMHYICRkg7kpt_d0/edit#gid=1892753874"",""Rekap UBM!$E$9"")"),3.0)</f>
        <v>3</v>
      </c>
      <c r="F16" s="29">
        <f>IFERROR(__xludf.DUMMYFUNCTION("IMPORTRANGE(""https://docs.google.com/spreadsheets/d/1zz70Lj6oBg1MOPSG6KJcsMeqBNtXMHYICRkg7kpt_d0/edit#gid=1892753874"",""Rekap UBM!$F$9"")"),3.0)</f>
        <v>3</v>
      </c>
      <c r="G16" s="28">
        <f t="shared" si="2"/>
        <v>100</v>
      </c>
      <c r="H16" s="29">
        <f>IFERROR(__xludf.DUMMYFUNCTION("IMPORTRANGE(""https://docs.google.com/spreadsheets/d/1zz70Lj6oBg1MOPSG6KJcsMeqBNtXMHYICRkg7kpt_d0/edit#gid=1892753874"",""Rekap UBM!$H$9"")"),3.0)</f>
        <v>3</v>
      </c>
      <c r="I16" s="29">
        <f>IFERROR(__xludf.DUMMYFUNCTION("IMPORTRANGE(""https://docs.google.com/spreadsheets/d/1zz70Lj6oBg1MOPSG6KJcsMeqBNtXMHYICRkg7kpt_d0/edit#gid=1892753874"",""Rekap UBM!$I$9"")"),3.0)</f>
        <v>3</v>
      </c>
      <c r="J16" s="28">
        <f t="shared" si="3"/>
        <v>100</v>
      </c>
    </row>
    <row r="17">
      <c r="A17" s="20" t="str">
        <f>'SPM-Uspro'!$C$20</f>
        <v>#REF!</v>
      </c>
      <c r="B17" s="21">
        <f>IFERROR(__xludf.DUMMYFUNCTION("IMPORTRANGE(""https://docs.google.com/spreadsheets/d/1773f1iHRnXhbrVjAHR7zUpu3neZdvtp1a2ikB9LJu8U/edit#gid=1522333227"",""Rekap UBM!$B$9"")"),1.0)</f>
        <v>1</v>
      </c>
      <c r="C17" s="21">
        <f>IFERROR(__xludf.DUMMYFUNCTION("IMPORTRANGE(""https://docs.google.com/spreadsheets/d/1773f1iHRnXhbrVjAHR7zUpu3neZdvtp1a2ikB9LJu8U/edit#gid=1522333227"",""Rekap UBM!$C$9"")"),1.0)</f>
        <v>1</v>
      </c>
      <c r="D17" s="28">
        <f t="shared" si="1"/>
        <v>100</v>
      </c>
      <c r="E17" s="21">
        <f>IFERROR(__xludf.DUMMYFUNCTION("IMPORTRANGE(""https://docs.google.com/spreadsheets/d/1773f1iHRnXhbrVjAHR7zUpu3neZdvtp1a2ikB9LJu8U/edit#gid=1522333227"",""Rekap UBM!$E$9"")"),13.0)</f>
        <v>13</v>
      </c>
      <c r="F17" s="29">
        <f>IFERROR(__xludf.DUMMYFUNCTION("IMPORTRANGE(""https://docs.google.com/spreadsheets/d/1773f1iHRnXhbrVjAHR7zUpu3neZdvtp1a2ikB9LJu8U/edit#gid=1522333227"",""Rekap UBM!$F$9"")"),13.0)</f>
        <v>13</v>
      </c>
      <c r="G17" s="28">
        <f t="shared" si="2"/>
        <v>100</v>
      </c>
      <c r="H17" s="29">
        <f>IFERROR(__xludf.DUMMYFUNCTION("IMPORTRANGE(""https://docs.google.com/spreadsheets/d/1773f1iHRnXhbrVjAHR7zUpu3neZdvtp1a2ikB9LJu8U/edit#gid=1522333227"",""Rekap UBM!$H$9"")"),1.0)</f>
        <v>1</v>
      </c>
      <c r="I17" s="29">
        <f>IFERROR(__xludf.DUMMYFUNCTION("IMPORTRANGE(""https://docs.google.com/spreadsheets/d/1773f1iHRnXhbrVjAHR7zUpu3neZdvtp1a2ikB9LJu8U/edit#gid=1522333227"",""Rekap UBM!$I$9"")"),1.0)</f>
        <v>1</v>
      </c>
      <c r="J17" s="28">
        <f t="shared" si="3"/>
        <v>100</v>
      </c>
    </row>
    <row r="18">
      <c r="A18" s="20" t="str">
        <f>'SPM-Uspro'!$C$21</f>
        <v>#REF!</v>
      </c>
      <c r="B18" s="21">
        <f>IFERROR(__xludf.DUMMYFUNCTION("IMPORTRANGE(""https://docs.google.com/spreadsheets/d/10iNzN1LqaStEosZKEbqcoOm3IdodNsG31q_nR0Y6WGo/edit#gid=1522333227"",""Rekap UBM!$B$9"")"),1.0)</f>
        <v>1</v>
      </c>
      <c r="C18" s="21">
        <f>IFERROR(__xludf.DUMMYFUNCTION("IMPORTRANGE(""https://docs.google.com/spreadsheets/d/10iNzN1LqaStEosZKEbqcoOm3IdodNsG31q_nR0Y6WGo/edit#gid=1522333227"",""Rekap UBM!$C$9"")"),1.0)</f>
        <v>1</v>
      </c>
      <c r="D18" s="28">
        <f t="shared" si="1"/>
        <v>100</v>
      </c>
      <c r="E18" s="21" t="str">
        <f>IFERROR(__xludf.DUMMYFUNCTION("IMPORTRANGE(""https://docs.google.com/spreadsheets/d/10iNzN1LqaStEosZKEbqcoOm3IdodNsG31q_nR0Y6WGo/edit#gid=1522333227"",""Rekap UBM!$E$9"")"),"")</f>
        <v/>
      </c>
      <c r="F18" s="29" t="str">
        <f>IFERROR(__xludf.DUMMYFUNCTION("IMPORTRANGE(""https://docs.google.com/spreadsheets/d/10iNzN1LqaStEosZKEbqcoOm3IdodNsG31q_nR0Y6WGo/edit#gid=1522333227"",""Rekap UBM!$F$9"")"),"")</f>
        <v/>
      </c>
      <c r="G18" s="28" t="str">
        <f t="shared" si="2"/>
        <v>#DIV/0!</v>
      </c>
      <c r="H18" s="29" t="str">
        <f>IFERROR(__xludf.DUMMYFUNCTION("IMPORTRANGE(""https://docs.google.com/spreadsheets/d/10iNzN1LqaStEosZKEbqcoOm3IdodNsG31q_nR0Y6WGo/edit#gid=1522333227"",""Rekap UBM!$H$9"")"),"")</f>
        <v/>
      </c>
      <c r="I18" s="29" t="str">
        <f>IFERROR(__xludf.DUMMYFUNCTION("IMPORTRANGE(""https://docs.google.com/spreadsheets/d/10iNzN1LqaStEosZKEbqcoOm3IdodNsG31q_nR0Y6WGo/edit#gid=1522333227"",""Rekap UBM!$I$9"")"),"")</f>
        <v/>
      </c>
      <c r="J18" s="28" t="str">
        <f t="shared" si="3"/>
        <v>#DIV/0!</v>
      </c>
    </row>
    <row r="19">
      <c r="A19" s="20" t="str">
        <f>'SPM-Uspro'!$C$22</f>
        <v>#REF!</v>
      </c>
      <c r="B19" s="21">
        <f>IFERROR(__xludf.DUMMYFUNCTION("IMPORTRANGE(""https://docs.google.com/spreadsheets/d/17PsIU8VcCQeO2M4DM42K9vv32GkafaaF1LxQevQ8tAQ/edit#gid=1892753874"",""Rekap UBM!$B$9"")"),1.0)</f>
        <v>1</v>
      </c>
      <c r="C19" s="21">
        <f>IFERROR(__xludf.DUMMYFUNCTION("IMPORTRANGE(""https://docs.google.com/spreadsheets/d/17PsIU8VcCQeO2M4DM42K9vv32GkafaaF1LxQevQ8tAQ/edit#gid=1892753874"",""Rekap UBM!$C$9"")"),0.0)</f>
        <v>0</v>
      </c>
      <c r="D19" s="28">
        <f t="shared" si="1"/>
        <v>0</v>
      </c>
      <c r="E19" s="21" t="str">
        <f>IFERROR(__xludf.DUMMYFUNCTION("IMPORTRANGE(""https://docs.google.com/spreadsheets/d/17PsIU8VcCQeO2M4DM42K9vv32GkafaaF1LxQevQ8tAQ/edit#gid=1892753874"",""Rekap UBM!$E$9"")"),"")</f>
        <v/>
      </c>
      <c r="F19" s="29" t="str">
        <f>IFERROR(__xludf.DUMMYFUNCTION("IMPORTRANGE(""https://docs.google.com/spreadsheets/d/17PsIU8VcCQeO2M4DM42K9vv32GkafaaF1LxQevQ8tAQ/edit#gid=1892753874"",""Rekap UBM!$F$9"")"),"")</f>
        <v/>
      </c>
      <c r="G19" s="28" t="str">
        <f t="shared" si="2"/>
        <v>#DIV/0!</v>
      </c>
      <c r="H19" s="29" t="str">
        <f>IFERROR(__xludf.DUMMYFUNCTION("IMPORTRANGE(""https://docs.google.com/spreadsheets/d/17PsIU8VcCQeO2M4DM42K9vv32GkafaaF1LxQevQ8tAQ/edit#gid=1892753874"",""Rekap UBM!$H$9"")"),"")</f>
        <v/>
      </c>
      <c r="I19" s="29" t="str">
        <f>IFERROR(__xludf.DUMMYFUNCTION("IMPORTRANGE(""https://docs.google.com/spreadsheets/d/17PsIU8VcCQeO2M4DM42K9vv32GkafaaF1LxQevQ8tAQ/edit#gid=1892753874"",""Rekap UBM!$I$9"")"),"")</f>
        <v/>
      </c>
      <c r="J19" s="28" t="str">
        <f t="shared" si="3"/>
        <v>#DIV/0!</v>
      </c>
    </row>
    <row r="20">
      <c r="A20" s="20" t="str">
        <f>'SPM-Uspro'!$C$23</f>
        <v>#REF!</v>
      </c>
      <c r="B20" s="21">
        <f>IFERROR(__xludf.DUMMYFUNCTION("IMPORTRANGE(""https://docs.google.com/spreadsheets/d/1d0Y9C6M4-a1TT0nIK2Gc4IXnbVyxoBB3v7o1biNGAwY/edit#gid=1892753874"",""Rekap UBM!$B$9"")"),1.0)</f>
        <v>1</v>
      </c>
      <c r="C20" s="21">
        <f>IFERROR(__xludf.DUMMYFUNCTION("IMPORTRANGE(""https://docs.google.com/spreadsheets/d/1d0Y9C6M4-a1TT0nIK2Gc4IXnbVyxoBB3v7o1biNGAwY/edit#gid=1892753874"",""Rekap UBM!$C$9"")"),1.0)</f>
        <v>1</v>
      </c>
      <c r="D20" s="28">
        <f t="shared" si="1"/>
        <v>100</v>
      </c>
      <c r="E20" s="21">
        <f>IFERROR(__xludf.DUMMYFUNCTION("IMPORTRANGE(""https://docs.google.com/spreadsheets/d/1d0Y9C6M4-a1TT0nIK2Gc4IXnbVyxoBB3v7o1biNGAwY/edit#gid=1892753874"",""Rekap UBM!$E$9"")"),6.0)</f>
        <v>6</v>
      </c>
      <c r="F20" s="29">
        <f>IFERROR(__xludf.DUMMYFUNCTION("IMPORTRANGE(""https://docs.google.com/spreadsheets/d/1d0Y9C6M4-a1TT0nIK2Gc4IXnbVyxoBB3v7o1biNGAwY/edit#gid=1892753874"",""Rekap UBM!$F$9"")"),0.0)</f>
        <v>0</v>
      </c>
      <c r="G20" s="28">
        <f t="shared" si="2"/>
        <v>0</v>
      </c>
      <c r="H20" s="29" t="str">
        <f>IFERROR(__xludf.DUMMYFUNCTION("IMPORTRANGE(""https://docs.google.com/spreadsheets/d/1d0Y9C6M4-a1TT0nIK2Gc4IXnbVyxoBB3v7o1biNGAwY/edit#gid=1892753874"",""Rekap UBM!$H$9"")"),"")</f>
        <v/>
      </c>
      <c r="I20" s="29">
        <f>IFERROR(__xludf.DUMMYFUNCTION("IMPORTRANGE(""https://docs.google.com/spreadsheets/d/1d0Y9C6M4-a1TT0nIK2Gc4IXnbVyxoBB3v7o1biNGAwY/edit#gid=1892753874"",""Rekap UBM!$I$9"")"),0.0)</f>
        <v>0</v>
      </c>
      <c r="J20" s="28" t="str">
        <f t="shared" si="3"/>
        <v>#DIV/0!</v>
      </c>
    </row>
    <row r="21" ht="15.75" customHeight="1">
      <c r="A21" s="20" t="str">
        <f>'SPM-Uspro'!$C$24</f>
        <v>#REF!</v>
      </c>
      <c r="B21" s="21">
        <f>IFERROR(__xludf.DUMMYFUNCTION("IMPORTRANGE(""https://docs.google.com/spreadsheets/d/1fXA1yQzUNddp7fjR2KF22o4rRJu9lP9Ja9Oi1mRbg_E/edit#gid=1892753874"",""Rekap UBM!$B$9"")"),1.0)</f>
        <v>1</v>
      </c>
      <c r="C21" s="21">
        <f>IFERROR(__xludf.DUMMYFUNCTION("IMPORTRANGE(""https://docs.google.com/spreadsheets/d/1fXA1yQzUNddp7fjR2KF22o4rRJu9lP9Ja9Oi1mRbg_E/edit#gid=1892753874"",""Rekap UBM!$C$9"")"),1.0)</f>
        <v>1</v>
      </c>
      <c r="D21" s="28">
        <f t="shared" si="1"/>
        <v>100</v>
      </c>
      <c r="E21" s="21">
        <f>IFERROR(__xludf.DUMMYFUNCTION("IMPORTRANGE(""https://docs.google.com/spreadsheets/d/1fXA1yQzUNddp7fjR2KF22o4rRJu9lP9Ja9Oi1mRbg_E/edit#gid=1892753874"",""Rekap UBM!$E$9"")"),1.0)</f>
        <v>1</v>
      </c>
      <c r="F21" s="29">
        <f>IFERROR(__xludf.DUMMYFUNCTION("IMPORTRANGE(""https://docs.google.com/spreadsheets/d/1fXA1yQzUNddp7fjR2KF22o4rRJu9lP9Ja9Oi1mRbg_E/edit#gid=1892753874"",""Rekap UBM!$F$9"")"),1.0)</f>
        <v>1</v>
      </c>
      <c r="G21" s="28">
        <f t="shared" si="2"/>
        <v>100</v>
      </c>
      <c r="H21" s="29" t="str">
        <f>IFERROR(__xludf.DUMMYFUNCTION("IMPORTRANGE(""https://docs.google.com/spreadsheets/d/1fXA1yQzUNddp7fjR2KF22o4rRJu9lP9Ja9Oi1mRbg_E/edit#gid=1892753874"",""Rekap UBM!$H$9"")"),"")</f>
        <v/>
      </c>
      <c r="I21" s="29" t="str">
        <f>IFERROR(__xludf.DUMMYFUNCTION("IMPORTRANGE(""https://docs.google.com/spreadsheets/d/1fXA1yQzUNddp7fjR2KF22o4rRJu9lP9Ja9Oi1mRbg_E/edit#gid=1892753874"",""Rekap UBM!$I$9"")"),"")</f>
        <v/>
      </c>
      <c r="J21" s="28" t="str">
        <f t="shared" si="3"/>
        <v>#DIV/0!</v>
      </c>
    </row>
    <row r="22" ht="15.75" customHeight="1">
      <c r="A22" s="20" t="str">
        <f>'SPM-Uspro'!$C$25</f>
        <v>#REF!</v>
      </c>
      <c r="B22" s="21">
        <f>IFERROR(__xludf.DUMMYFUNCTION("IMPORTRANGE(""https://docs.google.com/spreadsheets/d/155aL1qCqCleHwMP0Y8LT5akEbK27R0RIka-lAkeoeEo/edit#gid=1892753874"",""Rekap UBM!$B$9"")"),1.0)</f>
        <v>1</v>
      </c>
      <c r="C22" s="21">
        <f>IFERROR(__xludf.DUMMYFUNCTION("IMPORTRANGE(""https://docs.google.com/spreadsheets/d/155aL1qCqCleHwMP0Y8LT5akEbK27R0RIka-lAkeoeEo/edit#gid=1892753874"",""Rekap UBM!$C$9"")"),1.0)</f>
        <v>1</v>
      </c>
      <c r="D22" s="28">
        <f t="shared" si="1"/>
        <v>100</v>
      </c>
      <c r="E22" s="21">
        <f>IFERROR(__xludf.DUMMYFUNCTION("IMPORTRANGE(""https://docs.google.com/spreadsheets/d/155aL1qCqCleHwMP0Y8LT5akEbK27R0RIka-lAkeoeEo/edit#gid=1892753874"",""Rekap UBM!$E$9"")"),7.0)</f>
        <v>7</v>
      </c>
      <c r="F22" s="29">
        <f>IFERROR(__xludf.DUMMYFUNCTION("IMPORTRANGE(""https://docs.google.com/spreadsheets/d/155aL1qCqCleHwMP0Y8LT5akEbK27R0RIka-lAkeoeEo/edit#gid=1892753874"",""Rekap UBM!$F$9"")"),0.0)</f>
        <v>0</v>
      </c>
      <c r="G22" s="28">
        <f t="shared" si="2"/>
        <v>0</v>
      </c>
      <c r="H22" s="29">
        <f>IFERROR(__xludf.DUMMYFUNCTION("IMPORTRANGE(""https://docs.google.com/spreadsheets/d/155aL1qCqCleHwMP0Y8LT5akEbK27R0RIka-lAkeoeEo/edit#gid=1892753874"",""Rekap UBM!$H$9"")"),2.0)</f>
        <v>2</v>
      </c>
      <c r="I22" s="29">
        <f>IFERROR(__xludf.DUMMYFUNCTION("IMPORTRANGE(""https://docs.google.com/spreadsheets/d/155aL1qCqCleHwMP0Y8LT5akEbK27R0RIka-lAkeoeEo/edit#gid=1892753874"",""Rekap UBM!$I$9"")"),0.0)</f>
        <v>0</v>
      </c>
      <c r="J22" s="28">
        <f t="shared" si="3"/>
        <v>0</v>
      </c>
    </row>
    <row r="23" ht="15.75" customHeight="1">
      <c r="A23" s="20" t="str">
        <f>'SPM-Uspro'!$C$26</f>
        <v>#REF!</v>
      </c>
      <c r="B23" s="21">
        <f>IFERROR(__xludf.DUMMYFUNCTION("IMPORTRANGE(""https://docs.google.com/spreadsheets/d/13FRR1udp0c0o6Nmp_8YHiON78PXr-L4FqQQ028JcBYY/edit#gid=1522333227"",""Rekap UBM!$B$9"")"),1.0)</f>
        <v>1</v>
      </c>
      <c r="C23" s="21">
        <f>IFERROR(__xludf.DUMMYFUNCTION("IMPORTRANGE(""https://docs.google.com/spreadsheets/d/13FRR1udp0c0o6Nmp_8YHiON78PXr-L4FqQQ028JcBYY/edit#gid=1522333227"",""Rekap UBM!$C$9"")"),1.0)</f>
        <v>1</v>
      </c>
      <c r="D23" s="28">
        <f t="shared" si="1"/>
        <v>100</v>
      </c>
      <c r="E23" s="21">
        <f>IFERROR(__xludf.DUMMYFUNCTION("IMPORTRANGE(""https://docs.google.com/spreadsheets/d/13FRR1udp0c0o6Nmp_8YHiON78PXr-L4FqQQ028JcBYY/edit#gid=1522333227"",""Rekap UBM!$E$9"")"),0.0)</f>
        <v>0</v>
      </c>
      <c r="F23" s="29">
        <f>IFERROR(__xludf.DUMMYFUNCTION("IMPORTRANGE(""https://docs.google.com/spreadsheets/d/13FRR1udp0c0o6Nmp_8YHiON78PXr-L4FqQQ028JcBYY/edit#gid=1522333227"",""Rekap UBM!$F$9"")"),0.0)</f>
        <v>0</v>
      </c>
      <c r="G23" s="28" t="str">
        <f t="shared" si="2"/>
        <v>#DIV/0!</v>
      </c>
      <c r="H23" s="29">
        <f>IFERROR(__xludf.DUMMYFUNCTION("IMPORTRANGE(""https://docs.google.com/spreadsheets/d/13FRR1udp0c0o6Nmp_8YHiON78PXr-L4FqQQ028JcBYY/edit#gid=1522333227"",""Rekap UBM!$H$9"")"),0.0)</f>
        <v>0</v>
      </c>
      <c r="I23" s="29">
        <f>IFERROR(__xludf.DUMMYFUNCTION("IMPORTRANGE(""https://docs.google.com/spreadsheets/d/13FRR1udp0c0o6Nmp_8YHiON78PXr-L4FqQQ028JcBYY/edit#gid=1522333227"",""Rekap UBM!$I$9"")"),0.0)</f>
        <v>0</v>
      </c>
      <c r="J23" s="28" t="str">
        <f t="shared" si="3"/>
        <v>#DIV/0!</v>
      </c>
    </row>
    <row r="24" ht="15.75" customHeight="1">
      <c r="A24" s="20" t="str">
        <f>'SPM-Uspro'!$C$27</f>
        <v>#REF!</v>
      </c>
      <c r="B24" s="21">
        <f>IFERROR(__xludf.DUMMYFUNCTION("IMPORTRANGE(""https://docs.google.com/spreadsheets/d/1PVwe4VvYfj1Vj424c9kO9TcQogsBM6TpXMbFve9togc/edit#gid=1522333227"",""Rekap UBM!$B$9"")"),1.0)</f>
        <v>1</v>
      </c>
      <c r="C24" s="21">
        <f>IFERROR(__xludf.DUMMYFUNCTION("IMPORTRANGE(""https://docs.google.com/spreadsheets/d/1PVwe4VvYfj1Vj424c9kO9TcQogsBM6TpXMbFve9togc/edit#gid=1522333227"",""Rekap UBM!$C$9"")"),1.0)</f>
        <v>1</v>
      </c>
      <c r="D24" s="28">
        <f t="shared" si="1"/>
        <v>100</v>
      </c>
      <c r="E24" s="21">
        <f>IFERROR(__xludf.DUMMYFUNCTION("IMPORTRANGE(""https://docs.google.com/spreadsheets/d/1PVwe4VvYfj1Vj424c9kO9TcQogsBM6TpXMbFve9togc/edit#gid=1522333227"",""Rekap UBM!$E$9"")"),3.0)</f>
        <v>3</v>
      </c>
      <c r="F24" s="29">
        <f>IFERROR(__xludf.DUMMYFUNCTION("IMPORTRANGE(""https://docs.google.com/spreadsheets/d/1PVwe4VvYfj1Vj424c9kO9TcQogsBM6TpXMbFve9togc/edit#gid=1522333227"",""Rekap UBM!$F$9"")"),0.0)</f>
        <v>0</v>
      </c>
      <c r="G24" s="28">
        <f t="shared" si="2"/>
        <v>0</v>
      </c>
      <c r="H24" s="29">
        <f>IFERROR(__xludf.DUMMYFUNCTION("IMPORTRANGE(""https://docs.google.com/spreadsheets/d/1PVwe4VvYfj1Vj424c9kO9TcQogsBM6TpXMbFve9togc/edit#gid=1522333227"",""Rekap UBM!$H$9"")"),0.0)</f>
        <v>0</v>
      </c>
      <c r="I24" s="29">
        <f>IFERROR(__xludf.DUMMYFUNCTION("IMPORTRANGE(""https://docs.google.com/spreadsheets/d/1PVwe4VvYfj1Vj424c9kO9TcQogsBM6TpXMbFve9togc/edit#gid=1522333227"",""Rekap UBM!$I$9"")"),0.0)</f>
        <v>0</v>
      </c>
      <c r="J24" s="28" t="str">
        <f t="shared" si="3"/>
        <v>#DIV/0!</v>
      </c>
    </row>
    <row r="25" ht="15.75" customHeight="1">
      <c r="A25" s="20" t="str">
        <f>'SPM-Uspro'!$C$28</f>
        <v>#REF!</v>
      </c>
      <c r="B25" s="21">
        <f>IFERROR(__xludf.DUMMYFUNCTION("IMPORTRANGE(""https://docs.google.com/spreadsheets/d/15JUTNcWxWGx3Ha8qvwbxgnbDbT4v7N3vZYvqPZ68_Xg/edit#gid=1892753874"",""Rekap UBM!$B$9"")"),1.0)</f>
        <v>1</v>
      </c>
      <c r="C25" s="21">
        <f>IFERROR(__xludf.DUMMYFUNCTION("IMPORTRANGE(""https://docs.google.com/spreadsheets/d/15JUTNcWxWGx3Ha8qvwbxgnbDbT4v7N3vZYvqPZ68_Xg/edit#gid=1892753874"",""Rekap UBM!$C$9"")"),1.0)</f>
        <v>1</v>
      </c>
      <c r="D25" s="28">
        <f t="shared" si="1"/>
        <v>100</v>
      </c>
      <c r="E25" s="21" t="str">
        <f>IFERROR(__xludf.DUMMYFUNCTION("IMPORTRANGE(""https://docs.google.com/spreadsheets/d/15JUTNcWxWGx3Ha8qvwbxgnbDbT4v7N3vZYvqPZ68_Xg/edit#gid=1892753874"",""Rekap UBM!$E$9"")"),"")</f>
        <v/>
      </c>
      <c r="F25" s="29" t="str">
        <f>IFERROR(__xludf.DUMMYFUNCTION("IMPORTRANGE(""https://docs.google.com/spreadsheets/d/15JUTNcWxWGx3Ha8qvwbxgnbDbT4v7N3vZYvqPZ68_Xg/edit#gid=1892753874"",""Rekap UBM!$F$9"")"),"")</f>
        <v/>
      </c>
      <c r="G25" s="28" t="str">
        <f t="shared" si="2"/>
        <v>#DIV/0!</v>
      </c>
      <c r="H25" s="29" t="str">
        <f>IFERROR(__xludf.DUMMYFUNCTION("IMPORTRANGE(""https://docs.google.com/spreadsheets/d/15JUTNcWxWGx3Ha8qvwbxgnbDbT4v7N3vZYvqPZ68_Xg/edit#gid=1892753874"",""Rekap UBM!$H$9"")"),"")</f>
        <v/>
      </c>
      <c r="I25" s="29" t="str">
        <f>IFERROR(__xludf.DUMMYFUNCTION("IMPORTRANGE(""https://docs.google.com/spreadsheets/d/15JUTNcWxWGx3Ha8qvwbxgnbDbT4v7N3vZYvqPZ68_Xg/edit#gid=1892753874"",""Rekap UBM!$I$9"")"),"")</f>
        <v/>
      </c>
      <c r="J25" s="28" t="str">
        <f t="shared" si="3"/>
        <v>#DIV/0!</v>
      </c>
    </row>
    <row r="26" ht="15.75" customHeight="1"/>
    <row r="27" ht="15.75" customHeight="1">
      <c r="B27" s="30" t="s">
        <v>24</v>
      </c>
      <c r="C27" s="31"/>
      <c r="D27" s="32" t="s">
        <v>25</v>
      </c>
    </row>
    <row r="28" ht="15.75" customHeight="1">
      <c r="B28" s="31"/>
      <c r="C28" s="31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7:D9"/>
    <mergeCell ref="E7:E9"/>
    <mergeCell ref="F7:F9"/>
    <mergeCell ref="G7:G9"/>
    <mergeCell ref="H7:H9"/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4.78"/>
    <col customWidth="1" min="2" max="2" width="14.33"/>
    <col customWidth="1" min="3" max="4" width="10.11"/>
    <col customWidth="1" min="5" max="5" width="15.11"/>
    <col customWidth="1" min="6" max="6" width="9.56"/>
    <col customWidth="1" min="7" max="7" width="11.56"/>
    <col customWidth="1" min="8" max="8" width="11.67"/>
    <col customWidth="1" min="9" max="9" width="8.67"/>
    <col customWidth="1" min="10" max="11" width="9.0"/>
    <col customWidth="1" min="12" max="12" width="12.33"/>
    <col customWidth="1" min="13" max="13" width="16.89"/>
    <col customWidth="1" min="14" max="14" width="6.78"/>
  </cols>
  <sheetData>
    <row r="1">
      <c r="A1" s="33" t="s">
        <v>26</v>
      </c>
      <c r="B1" s="34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ht="15.0" customHeight="1">
      <c r="A2" s="37" t="s">
        <v>27</v>
      </c>
      <c r="B2" s="37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5.0" customHeight="1">
      <c r="A3" s="37" t="s">
        <v>28</v>
      </c>
      <c r="B3" s="37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5.0" customHeight="1">
      <c r="A4" s="38"/>
      <c r="B4" s="38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>
      <c r="A5" s="39" t="s">
        <v>29</v>
      </c>
      <c r="B5" s="40" t="s">
        <v>30</v>
      </c>
      <c r="C5" s="41" t="s">
        <v>31</v>
      </c>
      <c r="D5" s="41" t="s">
        <v>32</v>
      </c>
      <c r="E5" s="41" t="s">
        <v>33</v>
      </c>
      <c r="F5" s="41" t="s">
        <v>34</v>
      </c>
      <c r="G5" s="41" t="s">
        <v>35</v>
      </c>
      <c r="H5" s="41" t="s">
        <v>36</v>
      </c>
      <c r="I5" s="41" t="s">
        <v>37</v>
      </c>
      <c r="J5" s="41" t="s">
        <v>38</v>
      </c>
      <c r="K5" s="41" t="s">
        <v>39</v>
      </c>
      <c r="L5" s="42" t="s">
        <v>40</v>
      </c>
      <c r="M5" s="42" t="s">
        <v>41</v>
      </c>
      <c r="N5" s="43" t="s">
        <v>42</v>
      </c>
    </row>
    <row r="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>
      <c r="A9" s="44">
        <v>1.0</v>
      </c>
      <c r="B9" s="45">
        <v>2.0</v>
      </c>
      <c r="C9" s="46">
        <v>3.0</v>
      </c>
      <c r="D9" s="46">
        <v>4.0</v>
      </c>
      <c r="E9" s="46">
        <v>5.0</v>
      </c>
      <c r="F9" s="46">
        <v>6.0</v>
      </c>
      <c r="G9" s="46">
        <v>7.0</v>
      </c>
      <c r="H9" s="46">
        <v>8.0</v>
      </c>
      <c r="I9" s="46">
        <v>9.0</v>
      </c>
      <c r="J9" s="46">
        <v>10.0</v>
      </c>
      <c r="K9" s="46">
        <v>11.0</v>
      </c>
      <c r="L9" s="47">
        <v>12.0</v>
      </c>
      <c r="M9" s="47">
        <v>13.0</v>
      </c>
      <c r="N9" s="47">
        <v>14.0</v>
      </c>
    </row>
    <row r="10">
      <c r="A10" s="48">
        <v>1.0</v>
      </c>
      <c r="B10" s="49" t="s">
        <v>43</v>
      </c>
      <c r="C10" s="50">
        <v>3.0</v>
      </c>
      <c r="D10" s="50">
        <v>2.0</v>
      </c>
      <c r="E10" s="50"/>
      <c r="F10" s="50">
        <v>68.0</v>
      </c>
      <c r="G10" s="50">
        <v>36.0</v>
      </c>
      <c r="H10" s="51" t="s">
        <v>44</v>
      </c>
      <c r="I10" s="52">
        <v>462.0</v>
      </c>
      <c r="J10" s="53">
        <v>10.0</v>
      </c>
      <c r="K10" s="54">
        <f t="shared" ref="K10:K26" si="1">J10/I10*100</f>
        <v>2.164502165</v>
      </c>
      <c r="L10" s="55">
        <v>46.0</v>
      </c>
      <c r="M10" s="55">
        <v>46.0</v>
      </c>
      <c r="N10" s="56">
        <f t="shared" ref="N10:N26" si="2">M10/L10*100</f>
        <v>100</v>
      </c>
    </row>
    <row r="11">
      <c r="A11" s="48">
        <v>2.0</v>
      </c>
      <c r="B11" s="57" t="s">
        <v>45</v>
      </c>
      <c r="C11" s="50">
        <v>3.0</v>
      </c>
      <c r="D11" s="50">
        <v>2.0</v>
      </c>
      <c r="E11" s="58"/>
      <c r="F11" s="50">
        <v>56.0</v>
      </c>
      <c r="G11" s="50">
        <v>34.0</v>
      </c>
      <c r="H11" s="51" t="s">
        <v>46</v>
      </c>
      <c r="I11" s="52">
        <v>529.0</v>
      </c>
      <c r="J11" s="53">
        <v>13.0</v>
      </c>
      <c r="K11" s="54">
        <f t="shared" si="1"/>
        <v>2.457466919</v>
      </c>
      <c r="L11" s="55">
        <v>53.0</v>
      </c>
      <c r="M11" s="55">
        <v>53.0</v>
      </c>
      <c r="N11" s="56">
        <f t="shared" si="2"/>
        <v>100</v>
      </c>
    </row>
    <row r="12">
      <c r="A12" s="48">
        <v>3.0</v>
      </c>
      <c r="B12" s="57" t="s">
        <v>47</v>
      </c>
      <c r="C12" s="50">
        <v>3.0</v>
      </c>
      <c r="D12" s="50">
        <v>2.0</v>
      </c>
      <c r="E12" s="59"/>
      <c r="F12" s="50">
        <v>72.0</v>
      </c>
      <c r="G12" s="50">
        <v>28.0</v>
      </c>
      <c r="H12" s="51" t="s">
        <v>48</v>
      </c>
      <c r="I12" s="52">
        <v>427.0</v>
      </c>
      <c r="J12" s="53">
        <v>7.0</v>
      </c>
      <c r="K12" s="54">
        <f t="shared" si="1"/>
        <v>1.639344262</v>
      </c>
      <c r="L12" s="55">
        <v>27.0</v>
      </c>
      <c r="M12" s="55">
        <v>27.0</v>
      </c>
      <c r="N12" s="56">
        <f t="shared" si="2"/>
        <v>100</v>
      </c>
    </row>
    <row r="13">
      <c r="A13" s="60">
        <v>4.0</v>
      </c>
      <c r="B13" s="61" t="s">
        <v>49</v>
      </c>
      <c r="C13" s="62">
        <f t="shared" ref="C13:D13" si="3">MAX(C10:C12)</f>
        <v>3</v>
      </c>
      <c r="D13" s="62">
        <f t="shared" si="3"/>
        <v>2</v>
      </c>
      <c r="E13" s="63" t="str">
        <f>E12</f>
        <v/>
      </c>
      <c r="F13" s="62">
        <f t="shared" ref="F13:G13" si="4">SUM(F10:F12)</f>
        <v>196</v>
      </c>
      <c r="G13" s="62">
        <f t="shared" si="4"/>
        <v>98</v>
      </c>
      <c r="H13" s="64">
        <f>F13/G13</f>
        <v>2</v>
      </c>
      <c r="I13" s="62">
        <f t="shared" ref="I13:J13" si="5">SUM(I10:I12)</f>
        <v>1418</v>
      </c>
      <c r="J13" s="62">
        <f t="shared" si="5"/>
        <v>30</v>
      </c>
      <c r="K13" s="65">
        <f t="shared" si="1"/>
        <v>2.115655853</v>
      </c>
      <c r="L13" s="66">
        <f t="shared" ref="L13:M13" si="6">SUM(L10:L12)</f>
        <v>126</v>
      </c>
      <c r="M13" s="66">
        <f t="shared" si="6"/>
        <v>126</v>
      </c>
      <c r="N13" s="67">
        <f t="shared" si="2"/>
        <v>100</v>
      </c>
    </row>
    <row r="14" ht="15.75" customHeight="1">
      <c r="A14" s="48">
        <v>5.0</v>
      </c>
      <c r="B14" s="57" t="s">
        <v>50</v>
      </c>
      <c r="C14" s="50">
        <v>3.0</v>
      </c>
      <c r="D14" s="50">
        <v>2.0</v>
      </c>
      <c r="E14" s="59"/>
      <c r="F14" s="50">
        <v>66.0</v>
      </c>
      <c r="G14" s="50">
        <v>28.0</v>
      </c>
      <c r="H14" s="51" t="s">
        <v>51</v>
      </c>
      <c r="I14" s="52">
        <v>512.0</v>
      </c>
      <c r="J14" s="53">
        <v>15.0</v>
      </c>
      <c r="K14" s="54">
        <f t="shared" si="1"/>
        <v>2.9296875</v>
      </c>
      <c r="L14" s="55">
        <v>54.0</v>
      </c>
      <c r="M14" s="55">
        <v>54.0</v>
      </c>
      <c r="N14" s="56">
        <f t="shared" si="2"/>
        <v>100</v>
      </c>
    </row>
    <row r="15" ht="15.75" customHeight="1">
      <c r="A15" s="48">
        <v>6.0</v>
      </c>
      <c r="B15" s="57" t="s">
        <v>52</v>
      </c>
      <c r="C15" s="50">
        <v>3.0</v>
      </c>
      <c r="D15" s="50">
        <v>2.0</v>
      </c>
      <c r="E15" s="59"/>
      <c r="F15" s="50">
        <v>83.0</v>
      </c>
      <c r="G15" s="50">
        <v>25.0</v>
      </c>
      <c r="H15" s="51" t="s">
        <v>53</v>
      </c>
      <c r="I15" s="52">
        <v>485.0</v>
      </c>
      <c r="J15" s="53">
        <v>12.0</v>
      </c>
      <c r="K15" s="54">
        <f t="shared" si="1"/>
        <v>2.474226804</v>
      </c>
      <c r="L15" s="55">
        <v>43.0</v>
      </c>
      <c r="M15" s="55">
        <v>43.0</v>
      </c>
      <c r="N15" s="56">
        <f t="shared" si="2"/>
        <v>100</v>
      </c>
    </row>
    <row r="16" ht="15.75" customHeight="1">
      <c r="A16" s="68">
        <v>7.0</v>
      </c>
      <c r="B16" s="57" t="s">
        <v>54</v>
      </c>
      <c r="C16" s="50">
        <v>3.0</v>
      </c>
      <c r="D16" s="50">
        <v>2.0</v>
      </c>
      <c r="E16" s="59"/>
      <c r="F16" s="50">
        <v>68.0</v>
      </c>
      <c r="G16" s="50">
        <v>46.0</v>
      </c>
      <c r="H16" s="51" t="s">
        <v>55</v>
      </c>
      <c r="I16" s="52">
        <v>512.0</v>
      </c>
      <c r="J16" s="53">
        <v>18.0</v>
      </c>
      <c r="K16" s="54">
        <f t="shared" si="1"/>
        <v>3.515625</v>
      </c>
      <c r="L16" s="55">
        <v>46.0</v>
      </c>
      <c r="M16" s="55">
        <v>46.0</v>
      </c>
      <c r="N16" s="56">
        <f t="shared" si="2"/>
        <v>100</v>
      </c>
    </row>
    <row r="17" ht="15.75" customHeight="1">
      <c r="A17" s="60">
        <v>8.0</v>
      </c>
      <c r="B17" s="61" t="s">
        <v>56</v>
      </c>
      <c r="C17" s="62">
        <f t="shared" ref="C17:D17" si="7">MAX(C14:C16)</f>
        <v>3</v>
      </c>
      <c r="D17" s="62">
        <f t="shared" si="7"/>
        <v>2</v>
      </c>
      <c r="E17" s="63" t="str">
        <f>E16</f>
        <v/>
      </c>
      <c r="F17" s="62">
        <f t="shared" ref="F17:G17" si="8">SUM(F14:F16)</f>
        <v>217</v>
      </c>
      <c r="G17" s="62">
        <f t="shared" si="8"/>
        <v>99</v>
      </c>
      <c r="H17" s="64">
        <f>F17/G17</f>
        <v>2.191919192</v>
      </c>
      <c r="I17" s="62">
        <f t="shared" ref="I17:J17" si="9">SUM(I14:I16)</f>
        <v>1509</v>
      </c>
      <c r="J17" s="62">
        <f t="shared" si="9"/>
        <v>45</v>
      </c>
      <c r="K17" s="65">
        <f t="shared" si="1"/>
        <v>2.982107356</v>
      </c>
      <c r="L17" s="66">
        <f t="shared" ref="L17:M17" si="10">SUM(L14:L16)</f>
        <v>143</v>
      </c>
      <c r="M17" s="66">
        <f t="shared" si="10"/>
        <v>143</v>
      </c>
      <c r="N17" s="67">
        <f t="shared" si="2"/>
        <v>100</v>
      </c>
    </row>
    <row r="18" ht="15.75" customHeight="1">
      <c r="A18" s="48">
        <v>9.0</v>
      </c>
      <c r="B18" s="57" t="s">
        <v>57</v>
      </c>
      <c r="C18" s="50">
        <v>3.0</v>
      </c>
      <c r="D18" s="50">
        <v>2.0</v>
      </c>
      <c r="E18" s="59"/>
      <c r="F18" s="50">
        <v>80.0</v>
      </c>
      <c r="G18" s="50">
        <v>44.0</v>
      </c>
      <c r="H18" s="51" t="s">
        <v>58</v>
      </c>
      <c r="I18" s="52">
        <v>537.0</v>
      </c>
      <c r="J18" s="53">
        <v>16.0</v>
      </c>
      <c r="K18" s="54">
        <f t="shared" si="1"/>
        <v>2.979515829</v>
      </c>
      <c r="L18" s="55">
        <v>37.0</v>
      </c>
      <c r="M18" s="55">
        <v>37.0</v>
      </c>
      <c r="N18" s="56">
        <f t="shared" si="2"/>
        <v>100</v>
      </c>
    </row>
    <row r="19" ht="15.75" customHeight="1">
      <c r="A19" s="48">
        <v>10.0</v>
      </c>
      <c r="B19" s="57" t="s">
        <v>59</v>
      </c>
      <c r="C19" s="50">
        <v>3.0</v>
      </c>
      <c r="D19" s="50">
        <v>2.0</v>
      </c>
      <c r="E19" s="59"/>
      <c r="F19" s="50">
        <v>59.0</v>
      </c>
      <c r="G19" s="50">
        <v>25.0</v>
      </c>
      <c r="H19" s="51" t="s">
        <v>60</v>
      </c>
      <c r="I19" s="52">
        <v>463.0</v>
      </c>
      <c r="J19" s="53">
        <v>13.0</v>
      </c>
      <c r="K19" s="54">
        <f t="shared" si="1"/>
        <v>2.807775378</v>
      </c>
      <c r="L19" s="55">
        <v>48.0</v>
      </c>
      <c r="M19" s="55">
        <v>48.0</v>
      </c>
      <c r="N19" s="56">
        <f t="shared" si="2"/>
        <v>100</v>
      </c>
    </row>
    <row r="20" ht="15.75" customHeight="1">
      <c r="A20" s="48">
        <v>11.0</v>
      </c>
      <c r="B20" s="57" t="s">
        <v>61</v>
      </c>
      <c r="C20" s="50">
        <v>3.0</v>
      </c>
      <c r="D20" s="50">
        <v>2.0</v>
      </c>
      <c r="E20" s="59"/>
      <c r="F20" s="50">
        <v>55.0</v>
      </c>
      <c r="G20" s="50">
        <v>28.0</v>
      </c>
      <c r="H20" s="51" t="s">
        <v>62</v>
      </c>
      <c r="I20" s="52">
        <v>480.0</v>
      </c>
      <c r="J20" s="53">
        <v>13.0</v>
      </c>
      <c r="K20" s="54">
        <f t="shared" si="1"/>
        <v>2.708333333</v>
      </c>
      <c r="L20" s="55">
        <v>47.0</v>
      </c>
      <c r="M20" s="55">
        <v>47.0</v>
      </c>
      <c r="N20" s="56">
        <f t="shared" si="2"/>
        <v>100</v>
      </c>
    </row>
    <row r="21" ht="15.75" customHeight="1">
      <c r="A21" s="60">
        <v>12.0</v>
      </c>
      <c r="B21" s="61" t="s">
        <v>63</v>
      </c>
      <c r="C21" s="62">
        <f t="shared" ref="C21:D21" si="11">MAX(C18:C20)</f>
        <v>3</v>
      </c>
      <c r="D21" s="62">
        <f t="shared" si="11"/>
        <v>2</v>
      </c>
      <c r="E21" s="63" t="str">
        <f>E20</f>
        <v/>
      </c>
      <c r="F21" s="62">
        <f t="shared" ref="F21:G21" si="12">SUM(F18:F20)</f>
        <v>194</v>
      </c>
      <c r="G21" s="62">
        <f t="shared" si="12"/>
        <v>97</v>
      </c>
      <c r="H21" s="64">
        <f>F21/G21</f>
        <v>2</v>
      </c>
      <c r="I21" s="62">
        <f t="shared" ref="I21:J21" si="13">SUM(I18:I20)</f>
        <v>1480</v>
      </c>
      <c r="J21" s="62">
        <f t="shared" si="13"/>
        <v>42</v>
      </c>
      <c r="K21" s="65">
        <f t="shared" si="1"/>
        <v>2.837837838</v>
      </c>
      <c r="L21" s="66">
        <f t="shared" ref="L21:M21" si="14">SUM(L18:L20)</f>
        <v>132</v>
      </c>
      <c r="M21" s="66">
        <f t="shared" si="14"/>
        <v>132</v>
      </c>
      <c r="N21" s="67">
        <f t="shared" si="2"/>
        <v>100</v>
      </c>
    </row>
    <row r="22" ht="15.75" customHeight="1">
      <c r="A22" s="48">
        <v>13.0</v>
      </c>
      <c r="B22" s="57" t="s">
        <v>64</v>
      </c>
      <c r="C22" s="50">
        <v>3.0</v>
      </c>
      <c r="D22" s="50">
        <v>2.0</v>
      </c>
      <c r="E22" s="59"/>
      <c r="F22" s="50">
        <v>63.0</v>
      </c>
      <c r="G22" s="50">
        <v>22.0</v>
      </c>
      <c r="H22" s="51" t="s">
        <v>65</v>
      </c>
      <c r="I22" s="52">
        <v>460.0</v>
      </c>
      <c r="J22" s="53">
        <v>15.0</v>
      </c>
      <c r="K22" s="54">
        <f t="shared" si="1"/>
        <v>3.260869565</v>
      </c>
      <c r="L22" s="55">
        <v>45.0</v>
      </c>
      <c r="M22" s="55">
        <v>45.0</v>
      </c>
      <c r="N22" s="56">
        <f t="shared" si="2"/>
        <v>100</v>
      </c>
    </row>
    <row r="23" ht="15.75" customHeight="1">
      <c r="A23" s="48">
        <v>14.0</v>
      </c>
      <c r="B23" s="57" t="s">
        <v>66</v>
      </c>
      <c r="C23" s="50">
        <v>3.0</v>
      </c>
      <c r="D23" s="50">
        <v>2.0</v>
      </c>
      <c r="E23" s="59"/>
      <c r="F23" s="50">
        <v>69.0</v>
      </c>
      <c r="G23" s="50">
        <v>30.0</v>
      </c>
      <c r="H23" s="51" t="s">
        <v>67</v>
      </c>
      <c r="I23" s="52">
        <v>477.0</v>
      </c>
      <c r="J23" s="53">
        <v>20.0</v>
      </c>
      <c r="K23" s="54">
        <f t="shared" si="1"/>
        <v>4.192872117</v>
      </c>
      <c r="L23" s="55">
        <v>49.0</v>
      </c>
      <c r="M23" s="55">
        <v>49.0</v>
      </c>
      <c r="N23" s="56">
        <f t="shared" si="2"/>
        <v>100</v>
      </c>
    </row>
    <row r="24" ht="15.75" customHeight="1">
      <c r="A24" s="48">
        <v>15.0</v>
      </c>
      <c r="B24" s="57" t="s">
        <v>68</v>
      </c>
      <c r="C24" s="50">
        <v>3.0</v>
      </c>
      <c r="D24" s="50">
        <v>2.0</v>
      </c>
      <c r="E24" s="59"/>
      <c r="F24" s="50">
        <v>55.0</v>
      </c>
      <c r="G24" s="50">
        <v>26.0</v>
      </c>
      <c r="H24" s="51" t="s">
        <v>69</v>
      </c>
      <c r="I24" s="52">
        <v>492.0</v>
      </c>
      <c r="J24" s="53">
        <v>15.0</v>
      </c>
      <c r="K24" s="54">
        <f t="shared" si="1"/>
        <v>3.048780488</v>
      </c>
      <c r="L24" s="55">
        <v>47.0</v>
      </c>
      <c r="M24" s="55">
        <v>47.0</v>
      </c>
      <c r="N24" s="56">
        <f t="shared" si="2"/>
        <v>100</v>
      </c>
    </row>
    <row r="25" ht="15.75" customHeight="1">
      <c r="A25" s="69">
        <v>16.0</v>
      </c>
      <c r="B25" s="70" t="s">
        <v>70</v>
      </c>
      <c r="C25" s="62">
        <f t="shared" ref="C25:D25" si="15">MAX(C22:C24)</f>
        <v>3</v>
      </c>
      <c r="D25" s="62">
        <f t="shared" si="15"/>
        <v>2</v>
      </c>
      <c r="E25" s="63" t="str">
        <f>E24</f>
        <v/>
      </c>
      <c r="F25" s="62">
        <f t="shared" ref="F25:G25" si="16">SUM(F22:F24)</f>
        <v>187</v>
      </c>
      <c r="G25" s="62">
        <f t="shared" si="16"/>
        <v>78</v>
      </c>
      <c r="H25" s="64">
        <f t="shared" ref="H25:H26" si="21">F25/G25</f>
        <v>2.397435897</v>
      </c>
      <c r="I25" s="62">
        <f t="shared" ref="I25:J25" si="17">SUM(I22:I24)</f>
        <v>1429</v>
      </c>
      <c r="J25" s="62">
        <f t="shared" si="17"/>
        <v>50</v>
      </c>
      <c r="K25" s="65">
        <f t="shared" si="1"/>
        <v>3.498950315</v>
      </c>
      <c r="L25" s="66">
        <f t="shared" ref="L25:M25" si="18">SUM(L22:L24)</f>
        <v>141</v>
      </c>
      <c r="M25" s="66">
        <f t="shared" si="18"/>
        <v>141</v>
      </c>
      <c r="N25" s="67">
        <f t="shared" si="2"/>
        <v>100</v>
      </c>
    </row>
    <row r="26" ht="15.75" customHeight="1">
      <c r="A26" s="71" t="s">
        <v>71</v>
      </c>
      <c r="B26" s="13"/>
      <c r="C26" s="72">
        <f t="shared" ref="C26:E26" si="19">C10</f>
        <v>3</v>
      </c>
      <c r="D26" s="72">
        <f t="shared" si="19"/>
        <v>2</v>
      </c>
      <c r="E26" s="72" t="str">
        <f t="shared" si="19"/>
        <v/>
      </c>
      <c r="F26" s="72">
        <f t="shared" ref="F26:G26" si="20">SUM(F25,F21,F17,F13)</f>
        <v>794</v>
      </c>
      <c r="G26" s="72">
        <f t="shared" si="20"/>
        <v>372</v>
      </c>
      <c r="H26" s="73">
        <f t="shared" si="21"/>
        <v>2.134408602</v>
      </c>
      <c r="I26" s="72">
        <f t="shared" ref="I26:J26" si="22">SUM(I25,I21,I17,I13)</f>
        <v>5836</v>
      </c>
      <c r="J26" s="72">
        <f t="shared" si="22"/>
        <v>167</v>
      </c>
      <c r="K26" s="74">
        <f t="shared" si="1"/>
        <v>2.861549006</v>
      </c>
      <c r="L26" s="72">
        <f t="shared" ref="L26:M26" si="23">SUM(L25,L21,L17,L13)</f>
        <v>542</v>
      </c>
      <c r="M26" s="72">
        <f t="shared" si="23"/>
        <v>542</v>
      </c>
      <c r="N26" s="75">
        <f t="shared" si="2"/>
        <v>100</v>
      </c>
    </row>
    <row r="27" ht="15.75" customHeight="1">
      <c r="B27" s="76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5"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A26:B26"/>
  </mergeCells>
  <printOptions/>
  <pageMargins bottom="0.75" footer="0.0" header="0.0" left="0.7" right="0.7" top="0.75"/>
  <pageSetup orientation="landscape"/>
  <drawing r:id="rId1"/>
</worksheet>
</file>