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DGJ" sheetId="1" r:id="rId4"/>
    <sheet state="hidden" name="Per Puskesmas - Rekap KTR" sheetId="2" r:id="rId5"/>
    <sheet state="hidden" name="Per Puskesmas Rekap UBM" sheetId="3" r:id="rId6"/>
  </sheets>
  <definedNames/>
  <calcPr/>
</workbook>
</file>

<file path=xl/sharedStrings.xml><?xml version="1.0" encoding="utf-8"?>
<sst xmlns="http://schemas.openxmlformats.org/spreadsheetml/2006/main" count="65" uniqueCount="53">
  <si>
    <t xml:space="preserve">DATA SPM ODGJ BERAT KOTA MALANG
PUSKESMAS MOJOLANGU
Tahun 2024        </t>
  </si>
  <si>
    <r>
      <rPr>
        <rFont val="Calibri"/>
        <b/>
        <color theme="1"/>
        <sz val="14.0"/>
      </rPr>
      <t xml:space="preserve">Catatan :
</t>
    </r>
    <r>
      <rPr>
        <rFont val="Calibri"/>
        <b val="0"/>
        <color theme="1"/>
        <sz val="12.0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</si>
  <si>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</si>
  <si>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>NO</t>
  </si>
  <si>
    <t>BULAN</t>
  </si>
  <si>
    <t xml:space="preserve">TOTAL SASARAN </t>
  </si>
  <si>
    <t>TOTAL REALISASI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</si>
  <si>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</si>
  <si>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</si>
  <si>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</si>
  <si>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</si>
  <si>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</si>
  <si>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</si>
  <si>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</si>
  <si>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</si>
  <si>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</si>
  <si>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</si>
  <si>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</si>
  <si>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</si>
  <si>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</si>
  <si>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</si>
  <si>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</si>
  <si>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</si>
  <si>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</si>
  <si>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</si>
  <si>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</si>
  <si>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</si>
  <si>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Kembali ke _x000a_              Pilihan Program</t>
  </si>
  <si>
    <t>CAPAIAN IKK TAHUN 2024</t>
  </si>
  <si>
    <t>Rekapitulasi Penerapan Kawasan Tanpa Rokok (KTR)</t>
  </si>
  <si>
    <t>download sheet ini</t>
  </si>
  <si>
    <t>PUSKESMAS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</si>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</sst>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22">
    <font>
      <sz val="11.0"/>
      <color theme="1"/>
      <name val="Verdana"/>
      <scheme val="minor"/>
    </font>
    <font>
      <b/>
      <sz val="14.0"/>
      <color rgb="FF1155CC"/>
      <name val="Calibri"/>
    </font>
    <font/>
    <font>
      <b/>
      <sz val="14.0"/>
      <color theme="1"/>
      <name val="Calibri"/>
    </font>
    <font>
      <sz val="11.0"/>
      <color theme="1"/>
      <name val="Calibri"/>
    </font>
    <font>
      <color theme="1"/>
      <name val="Verdana"/>
    </font>
    <font>
      <b/>
      <sz val="12.0"/>
      <color rgb="FF000000"/>
      <name val="Arial Narrow"/>
    </font>
    <font>
      <sz val="11.0"/>
      <color rgb="FF000000"/>
      <name val="Arial Narrow"/>
    </font>
    <font>
      <sz val="11.0"/>
      <color theme="1"/>
      <name val="Arial Narrow"/>
    </font>
    <font>
      <sz val="11.0"/>
      <color theme="1"/>
      <name val="Bookman Old Style"/>
    </font>
    <font>
      <sz val="12.0"/>
      <color rgb="FF000000"/>
      <name val="Arial Narrow"/>
    </font>
    <font>
      <b/>
      <sz val="11.0"/>
      <color theme="1"/>
      <name val="Arial Narrow"/>
    </font>
    <font>
      <b/>
      <sz val="11.0"/>
      <color theme="1"/>
      <name val="Bookman Old Style"/>
    </font>
    <font>
      <b/>
      <sz val="11.0"/>
      <color rgb="FF000000"/>
      <name val="Arial Narrow"/>
    </font>
    <font>
      <b/>
      <u/>
      <sz val="14.0"/>
      <color rgb="FF1155CC"/>
      <name val="Calibri"/>
    </font>
    <font>
      <b/>
      <sz val="16.0"/>
      <color theme="1"/>
      <name val="Calibri"/>
    </font>
    <font>
      <sz val="11.0"/>
      <color theme="1"/>
      <name val="Verdana"/>
    </font>
    <font>
      <b/>
      <u/>
      <sz val="14.0"/>
      <color rgb="FF0000FF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1.0"/>
      <color rgb="FF000000"/>
      <name val="Calibri"/>
    </font>
    <font>
      <b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  <fill>
      <patternFill patternType="solid">
        <fgColor rgb="FFB6D7A8"/>
        <bgColor rgb="FFB6D7A8"/>
      </patternFill>
    </fill>
  </fills>
  <borders count="55">
    <border/>
    <border>
      <left/>
      <top/>
    </border>
    <border>
      <top/>
    </border>
    <border>
      <left/>
      <right/>
      <top/>
      <bottom/>
    </border>
    <border>
      <left/>
    </border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vertical="center" wrapText="1"/>
    </xf>
    <xf borderId="2" fillId="0" fontId="2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left" shrinkToFit="0" vertical="center" wrapText="1"/>
    </xf>
    <xf borderId="1" fillId="2" fontId="4" numFmtId="0" xfId="0" applyAlignment="1" applyBorder="1" applyFont="1">
      <alignment horizontal="left" shrinkToFit="0" vertical="center" wrapText="1"/>
    </xf>
    <xf borderId="0" fillId="2" fontId="5" numFmtId="0" xfId="0" applyFont="1"/>
    <xf borderId="3" fillId="2" fontId="4" numFmtId="0" xfId="0" applyAlignment="1" applyBorder="1" applyFont="1">
      <alignment vertical="center"/>
    </xf>
    <xf borderId="4" fillId="0" fontId="2" numFmtId="0" xfId="0" applyBorder="1" applyFont="1"/>
    <xf borderId="5" fillId="2" fontId="3" numFmtId="0" xfId="0" applyAlignment="1" applyBorder="1" applyFont="1">
      <alignment vertical="top"/>
    </xf>
    <xf borderId="6" fillId="0" fontId="2" numFmtId="0" xfId="0" applyBorder="1" applyFont="1"/>
    <xf borderId="7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0" fillId="0" fontId="6" numFmtId="0" xfId="0" applyAlignment="1" applyFon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0" fillId="0" fontId="6" numFmtId="0" xfId="0" applyAlignment="1" applyFont="1">
      <alignment horizontal="center"/>
    </xf>
    <xf borderId="19" fillId="0" fontId="2" numFmtId="0" xfId="0" applyBorder="1" applyFont="1"/>
    <xf borderId="20" fillId="0" fontId="2" numFmtId="0" xfId="0" applyBorder="1" applyFont="1"/>
    <xf borderId="21" fillId="0" fontId="6" numFmtId="0" xfId="0" applyAlignment="1" applyBorder="1" applyFont="1">
      <alignment horizontal="center"/>
    </xf>
    <xf borderId="22" fillId="0" fontId="6" numFmtId="0" xfId="0" applyAlignment="1" applyBorder="1" applyFont="1">
      <alignment horizontal="center"/>
    </xf>
    <xf borderId="14" fillId="0" fontId="6" numFmtId="0" xfId="0" applyAlignment="1" applyBorder="1" applyFont="1">
      <alignment horizontal="center" vertical="center"/>
    </xf>
    <xf borderId="21" fillId="0" fontId="6" numFmtId="0" xfId="0" applyAlignment="1" applyBorder="1" applyFont="1">
      <alignment horizontal="center" vertical="center"/>
    </xf>
    <xf borderId="23" fillId="0" fontId="6" numFmtId="0" xfId="0" applyAlignment="1" applyBorder="1" applyFont="1">
      <alignment horizontal="center" vertical="center"/>
    </xf>
    <xf borderId="24" fillId="0" fontId="2" numFmtId="0" xfId="0" applyBorder="1" applyFont="1"/>
    <xf borderId="25" fillId="0" fontId="2" numFmtId="0" xfId="0" applyBorder="1" applyFont="1"/>
    <xf borderId="26" fillId="0" fontId="2" numFmtId="0" xfId="0" applyBorder="1" applyFont="1"/>
    <xf borderId="27" fillId="0" fontId="6" numFmtId="0" xfId="0" applyAlignment="1" applyBorder="1" applyFont="1">
      <alignment horizontal="center"/>
    </xf>
    <xf borderId="28" fillId="0" fontId="6" numFmtId="0" xfId="0" applyAlignment="1" applyBorder="1" applyFont="1">
      <alignment horizontal="center"/>
    </xf>
    <xf borderId="25" fillId="0" fontId="6" numFmtId="0" xfId="0" applyAlignment="1" applyBorder="1" applyFont="1">
      <alignment horizontal="center" vertical="center"/>
    </xf>
    <xf borderId="19" fillId="0" fontId="7" numFmtId="0" xfId="0" applyAlignment="1" applyBorder="1" applyFont="1">
      <alignment horizontal="center"/>
    </xf>
    <xf borderId="20" fillId="0" fontId="8" numFmtId="0" xfId="0" applyAlignment="1" applyBorder="1" applyFont="1">
      <alignment horizontal="left"/>
    </xf>
    <xf borderId="29" fillId="0" fontId="9" numFmtId="0" xfId="0" applyAlignment="1" applyBorder="1" applyFont="1">
      <alignment horizontal="center" vertical="center"/>
    </xf>
    <xf borderId="30" fillId="3" fontId="7" numFmtId="3" xfId="0" applyAlignment="1" applyBorder="1" applyFill="1" applyFont="1" applyNumberFormat="1">
      <alignment horizontal="center"/>
    </xf>
    <xf borderId="31" fillId="3" fontId="7" numFmtId="3" xfId="0" applyAlignment="1" applyBorder="1" applyFont="1" applyNumberFormat="1">
      <alignment horizontal="center"/>
    </xf>
    <xf borderId="32" fillId="0" fontId="7" numFmtId="3" xfId="0" applyBorder="1" applyFont="1" applyNumberFormat="1"/>
    <xf borderId="18" fillId="0" fontId="10" numFmtId="164" xfId="0" applyAlignment="1" applyBorder="1" applyFont="1" applyNumberFormat="1">
      <alignment horizontal="center"/>
    </xf>
    <xf borderId="0" fillId="0" fontId="10" numFmtId="0" xfId="0" applyFont="1"/>
    <xf borderId="33" fillId="0" fontId="9" numFmtId="0" xfId="0" applyAlignment="1" applyBorder="1" applyFont="1">
      <alignment horizontal="center" vertical="center"/>
    </xf>
    <xf borderId="34" fillId="3" fontId="7" numFmtId="3" xfId="0" applyAlignment="1" applyBorder="1" applyFont="1" applyNumberFormat="1">
      <alignment horizontal="center"/>
    </xf>
    <xf borderId="35" fillId="3" fontId="7" numFmtId="3" xfId="0" applyAlignment="1" applyBorder="1" applyFont="1" applyNumberFormat="1">
      <alignment horizontal="center"/>
    </xf>
    <xf borderId="36" fillId="0" fontId="7" numFmtId="3" xfId="0" applyBorder="1" applyFont="1" applyNumberFormat="1"/>
    <xf borderId="37" fillId="4" fontId="7" numFmtId="0" xfId="0" applyAlignment="1" applyBorder="1" applyFill="1" applyFont="1">
      <alignment horizontal="center"/>
    </xf>
    <xf borderId="38" fillId="4" fontId="11" numFmtId="0" xfId="0" applyAlignment="1" applyBorder="1" applyFont="1">
      <alignment horizontal="left"/>
    </xf>
    <xf borderId="33" fillId="4" fontId="12" numFmtId="0" xfId="0" applyAlignment="1" applyBorder="1" applyFont="1">
      <alignment horizontal="center" vertical="center"/>
    </xf>
    <xf borderId="34" fillId="4" fontId="13" numFmtId="3" xfId="0" applyAlignment="1" applyBorder="1" applyFont="1" applyNumberFormat="1">
      <alignment horizontal="center"/>
    </xf>
    <xf borderId="35" fillId="4" fontId="13" numFmtId="3" xfId="0" applyAlignment="1" applyBorder="1" applyFont="1" applyNumberFormat="1">
      <alignment horizontal="center"/>
    </xf>
    <xf borderId="34" fillId="4" fontId="13" numFmtId="3" xfId="0" applyBorder="1" applyFont="1" applyNumberFormat="1"/>
    <xf borderId="39" fillId="4" fontId="10" numFmtId="164" xfId="0" applyAlignment="1" applyBorder="1" applyFont="1" applyNumberFormat="1">
      <alignment horizontal="center"/>
    </xf>
    <xf borderId="19" fillId="0" fontId="10" numFmtId="0" xfId="0" applyAlignment="1" applyBorder="1" applyFont="1">
      <alignment horizontal="center"/>
    </xf>
    <xf borderId="40" fillId="4" fontId="7" numFmtId="0" xfId="0" applyAlignment="1" applyBorder="1" applyFont="1">
      <alignment horizontal="center"/>
    </xf>
    <xf borderId="41" fillId="4" fontId="11" numFmtId="0" xfId="0" applyAlignment="1" applyBorder="1" applyFont="1">
      <alignment horizontal="left"/>
    </xf>
    <xf borderId="42" fillId="4" fontId="12" numFmtId="0" xfId="0" applyAlignment="1" applyBorder="1" applyFont="1">
      <alignment horizontal="center" vertical="center"/>
    </xf>
    <xf borderId="43" fillId="4" fontId="13" numFmtId="3" xfId="0" applyAlignment="1" applyBorder="1" applyFont="1" applyNumberFormat="1">
      <alignment horizontal="center"/>
    </xf>
    <xf borderId="44" fillId="4" fontId="13" numFmtId="3" xfId="0" applyAlignment="1" applyBorder="1" applyFont="1" applyNumberFormat="1">
      <alignment horizontal="center"/>
    </xf>
    <xf borderId="43" fillId="4" fontId="13" numFmtId="3" xfId="0" applyBorder="1" applyFont="1" applyNumberFormat="1"/>
    <xf borderId="45" fillId="4" fontId="10" numFmtId="164" xfId="0" applyAlignment="1" applyBorder="1" applyFont="1" applyNumberFormat="1">
      <alignment horizontal="center"/>
    </xf>
    <xf borderId="46" fillId="0" fontId="6" numFmtId="0" xfId="0" applyAlignment="1" applyBorder="1" applyFont="1">
      <alignment horizontal="center"/>
    </xf>
    <xf borderId="47" fillId="0" fontId="2" numFmtId="0" xfId="0" applyBorder="1" applyFont="1"/>
    <xf borderId="48" fillId="0" fontId="12" numFmtId="0" xfId="0" applyAlignment="1" applyBorder="1" applyFont="1">
      <alignment horizontal="center"/>
    </xf>
    <xf borderId="49" fillId="0" fontId="6" numFmtId="3" xfId="0" applyAlignment="1" applyBorder="1" applyFont="1" applyNumberFormat="1">
      <alignment horizontal="center" vertical="bottom"/>
    </xf>
    <xf borderId="47" fillId="0" fontId="6" numFmtId="164" xfId="0" applyAlignment="1" applyBorder="1" applyFont="1" applyNumberFormat="1">
      <alignment horizontal="center"/>
    </xf>
    <xf borderId="1" fillId="2" fontId="14" numFmtId="0" xfId="0" applyAlignment="1" applyBorder="1" applyFont="1">
      <alignment horizontal="left" shrinkToFit="0" vertical="center" wrapText="1"/>
    </xf>
    <xf borderId="3" fillId="2" fontId="15" numFmtId="0" xfId="0" applyAlignment="1" applyBorder="1" applyFont="1">
      <alignment horizontal="center" vertical="center"/>
    </xf>
    <xf borderId="3" fillId="2" fontId="16" numFmtId="0" xfId="0" applyBorder="1" applyFont="1"/>
    <xf borderId="3" fillId="2" fontId="15" numFmtId="0" xfId="0" applyAlignment="1" applyBorder="1" applyFont="1">
      <alignment horizontal="left" vertical="center"/>
    </xf>
    <xf borderId="5" fillId="2" fontId="17" numFmtId="0" xfId="0" applyAlignment="1" applyBorder="1" applyFont="1">
      <alignment horizontal="left" vertical="center"/>
    </xf>
    <xf borderId="0" fillId="0" fontId="18" numFmtId="0" xfId="0" applyAlignment="1" applyFont="1">
      <alignment vertical="center"/>
    </xf>
    <xf borderId="22" fillId="0" fontId="19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vertical="center"/>
    </xf>
    <xf borderId="51" fillId="0" fontId="2" numFmtId="0" xfId="0" applyBorder="1" applyFont="1"/>
    <xf borderId="36" fillId="0" fontId="2" numFmtId="0" xfId="0" applyBorder="1" applyFont="1"/>
    <xf borderId="0" fillId="0" fontId="18" numFmtId="0" xfId="0" applyAlignment="1" applyFont="1">
      <alignment shrinkToFit="0" vertical="center" wrapText="1"/>
    </xf>
    <xf borderId="52" fillId="0" fontId="2" numFmtId="0" xfId="0" applyBorder="1" applyFont="1"/>
    <xf borderId="35" fillId="0" fontId="19" numFmtId="0" xfId="0" applyAlignment="1" applyBorder="1" applyFont="1">
      <alignment horizontal="center" shrinkToFit="0" vertical="center" wrapText="1"/>
    </xf>
    <xf borderId="53" fillId="0" fontId="2" numFmtId="0" xfId="0" applyBorder="1" applyFont="1"/>
    <xf borderId="35" fillId="0" fontId="19" numFmtId="0" xfId="0" applyAlignment="1" applyBorder="1" applyFont="1">
      <alignment horizontal="center" vertical="center"/>
    </xf>
    <xf borderId="0" fillId="0" fontId="18" numFmtId="0" xfId="0" applyAlignment="1" applyFont="1">
      <alignment horizontal="center" vertical="center"/>
    </xf>
    <xf borderId="35" fillId="0" fontId="9" numFmtId="0" xfId="0" applyAlignment="1" applyBorder="1" applyFont="1">
      <alignment horizontal="left"/>
    </xf>
    <xf borderId="35" fillId="0" fontId="8" numFmtId="3" xfId="0" applyAlignment="1" applyBorder="1" applyFont="1" applyNumberFormat="1">
      <alignment horizontal="right"/>
    </xf>
    <xf borderId="1" fillId="2" fontId="15" numFmtId="0" xfId="0" applyAlignment="1" applyBorder="1" applyFont="1">
      <alignment horizontal="center" vertical="center"/>
    </xf>
    <xf borderId="50" fillId="5" fontId="6" numFmtId="0" xfId="0" applyAlignment="1" applyBorder="1" applyFill="1" applyFont="1">
      <alignment horizontal="center" vertical="center"/>
    </xf>
    <xf borderId="0" fillId="0" fontId="16" numFmtId="0" xfId="0" applyAlignment="1" applyFont="1">
      <alignment vertical="center"/>
    </xf>
    <xf borderId="54" fillId="6" fontId="6" numFmtId="0" xfId="0" applyAlignment="1" applyBorder="1" applyFill="1" applyFont="1">
      <alignment horizontal="center" shrinkToFit="0" vertical="center" wrapText="1"/>
    </xf>
    <xf borderId="54" fillId="7" fontId="6" numFmtId="0" xfId="0" applyAlignment="1" applyBorder="1" applyFill="1" applyFont="1">
      <alignment horizontal="center" shrinkToFit="0" vertical="center" wrapText="1"/>
    </xf>
    <xf borderId="54" fillId="8" fontId="6" numFmtId="0" xfId="0" applyAlignment="1" applyBorder="1" applyFill="1" applyFont="1">
      <alignment horizontal="center" shrinkToFit="0" vertical="center" wrapText="1"/>
    </xf>
    <xf borderId="32" fillId="0" fontId="20" numFmtId="164" xfId="0" applyAlignment="1" applyBorder="1" applyFont="1" applyNumberFormat="1">
      <alignment horizontal="center"/>
    </xf>
    <xf borderId="53" fillId="0" fontId="8" numFmtId="3" xfId="0" applyAlignment="1" applyBorder="1" applyFont="1" applyNumberFormat="1">
      <alignment horizontal="right"/>
    </xf>
    <xf borderId="0" fillId="0" fontId="21" numFmtId="0" xfId="0" applyFont="1"/>
    <xf borderId="0" fillId="0" fontId="4" numFmtId="0" xfId="0" applyFont="1"/>
    <xf borderId="0" fillId="0" fontId="18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qTQ54xFW5GCrjVb9Ey-VpqV7AsnuNIx3F-20LTn0_hY/export?format=xlsx&amp;gid=525917830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qTQ54xFW5GCrjVb9Ey-VpqV7AsnuNIx3F-20LTn0_hY/export?format=xlsx&amp;gid=233102740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3.0" ySplit="7.0" topLeftCell="D8" activePane="bottomRight" state="frozen"/>
      <selection activeCell="D1" sqref="D1" pane="topRight"/>
      <selection activeCell="A8" sqref="A8" pane="bottomLeft"/>
      <selection activeCell="D8" sqref="D8" pane="bottomRight"/>
    </sheetView>
  </sheetViews>
  <sheetFormatPr customHeight="1" defaultColWidth="11.22" defaultRowHeight="15.0"/>
  <cols>
    <col customWidth="1" min="1" max="1" width="2.44"/>
    <col customWidth="1" min="2" max="2" width="5.67"/>
    <col customWidth="1" min="3" max="3" width="14.56"/>
    <col customWidth="1" min="4" max="4" width="15.44"/>
    <col customWidth="1" min="5" max="5" width="12.89"/>
    <col customWidth="1" min="6" max="6" width="11.67"/>
    <col customWidth="1" min="7" max="7" width="11.44"/>
    <col customWidth="1" min="8" max="8" width="8.33"/>
    <col customWidth="1" min="9" max="34" width="6.22"/>
  </cols>
  <sheetData>
    <row r="1" ht="22.5" customHeight="1">
      <c r="B1" s="1"/>
      <c r="C1" s="2"/>
      <c r="D1" s="3" t="s">
        <v>0</v>
      </c>
      <c r="E1" s="2"/>
      <c r="F1" s="4" t="s">
        <v>1</v>
      </c>
      <c r="G1" s="2"/>
      <c r="H1" s="2"/>
      <c r="I1" s="2"/>
      <c r="J1" s="2"/>
      <c r="K1" s="2"/>
      <c r="L1" s="2"/>
      <c r="M1" s="2"/>
      <c r="N1" s="5" t="s">
        <v>2</v>
      </c>
      <c r="O1" s="2"/>
      <c r="P1" s="2"/>
      <c r="Q1" s="2"/>
      <c r="R1" s="2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ht="22.5" customHeight="1">
      <c r="B2" s="8"/>
      <c r="D2" s="8"/>
      <c r="F2" s="8"/>
      <c r="N2" s="8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ht="22.5" customHeight="1">
      <c r="B3" s="8"/>
      <c r="D3" s="8"/>
      <c r="F3" s="8"/>
      <c r="N3" s="8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ht="22.5" customHeight="1">
      <c r="B4" s="9"/>
      <c r="C4" s="10"/>
      <c r="D4" s="8"/>
      <c r="F4" s="8"/>
      <c r="N4" s="8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>
      <c r="B5" s="11" t="s">
        <v>3</v>
      </c>
      <c r="C5" s="12" t="s">
        <v>4</v>
      </c>
      <c r="D5" s="13" t="s">
        <v>5</v>
      </c>
      <c r="E5" s="14" t="s">
        <v>6</v>
      </c>
      <c r="F5" s="15"/>
      <c r="G5" s="15"/>
      <c r="H5" s="16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>
      <c r="B6" s="18"/>
      <c r="C6" s="19"/>
      <c r="D6" s="20"/>
      <c r="E6" s="21"/>
      <c r="F6" s="22"/>
      <c r="G6" s="22"/>
      <c r="H6" s="23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>
      <c r="B7" s="25"/>
      <c r="C7" s="26"/>
      <c r="D7" s="20"/>
      <c r="E7" s="27" t="s">
        <v>7</v>
      </c>
      <c r="F7" s="28" t="s">
        <v>8</v>
      </c>
      <c r="G7" s="28" t="s">
        <v>9</v>
      </c>
      <c r="H7" s="29" t="s">
        <v>10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</row>
    <row r="8" hidden="1">
      <c r="B8" s="30" t="s">
        <v>3</v>
      </c>
      <c r="C8" s="31" t="s">
        <v>4</v>
      </c>
      <c r="D8" s="13" t="s">
        <v>5</v>
      </c>
      <c r="E8" s="14" t="s">
        <v>6</v>
      </c>
      <c r="F8" s="15"/>
      <c r="G8" s="15"/>
      <c r="H8" s="16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hidden="1">
      <c r="B9" s="18"/>
      <c r="C9" s="19"/>
      <c r="D9" s="20"/>
      <c r="E9" s="21"/>
      <c r="F9" s="22"/>
      <c r="G9" s="22"/>
      <c r="H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hidden="1">
      <c r="B10" s="32"/>
      <c r="C10" s="33"/>
      <c r="D10" s="34"/>
      <c r="E10" s="35" t="s">
        <v>7</v>
      </c>
      <c r="F10" s="36" t="s">
        <v>8</v>
      </c>
      <c r="G10" s="36" t="s">
        <v>9</v>
      </c>
      <c r="H10" s="37" t="s">
        <v>10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>
      <c r="B11" s="38">
        <v>1.0</v>
      </c>
      <c r="C11" s="39" t="s">
        <v>11</v>
      </c>
      <c r="D11" s="40">
        <v>109.0</v>
      </c>
      <c r="E11" s="41">
        <v>11.0</v>
      </c>
      <c r="F11" s="42">
        <v>3.0</v>
      </c>
      <c r="G11" s="43">
        <f t="shared" ref="G11:G13" si="1">E11+F11</f>
        <v>14</v>
      </c>
      <c r="H11" s="44">
        <f t="shared" ref="H11:H27" si="2">G11/D11*100</f>
        <v>12.8440367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>
      <c r="B12" s="38">
        <v>2.0</v>
      </c>
      <c r="C12" s="39" t="s">
        <v>12</v>
      </c>
      <c r="D12" s="46">
        <f t="shared" ref="D12:D27" si="3">D11</f>
        <v>109</v>
      </c>
      <c r="E12" s="47">
        <v>3.0</v>
      </c>
      <c r="F12" s="48">
        <v>1.0</v>
      </c>
      <c r="G12" s="49">
        <f t="shared" si="1"/>
        <v>4</v>
      </c>
      <c r="H12" s="44">
        <f t="shared" si="2"/>
        <v>3.669724771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>
      <c r="B13" s="38">
        <v>3.0</v>
      </c>
      <c r="C13" s="39" t="s">
        <v>13</v>
      </c>
      <c r="D13" s="46">
        <f t="shared" si="3"/>
        <v>109</v>
      </c>
      <c r="E13" s="47">
        <v>3.0</v>
      </c>
      <c r="F13" s="48">
        <v>4.0</v>
      </c>
      <c r="G13" s="49">
        <f t="shared" si="1"/>
        <v>7</v>
      </c>
      <c r="H13" s="44">
        <f t="shared" si="2"/>
        <v>6.422018349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>
      <c r="B14" s="50">
        <v>4.0</v>
      </c>
      <c r="C14" s="51" t="s">
        <v>14</v>
      </c>
      <c r="D14" s="52">
        <f t="shared" si="3"/>
        <v>109</v>
      </c>
      <c r="E14" s="53">
        <f t="shared" ref="E14:G14" si="4">SUM(E11:E13)</f>
        <v>17</v>
      </c>
      <c r="F14" s="54">
        <f t="shared" si="4"/>
        <v>8</v>
      </c>
      <c r="G14" s="55">
        <f t="shared" si="4"/>
        <v>25</v>
      </c>
      <c r="H14" s="56">
        <f t="shared" si="2"/>
        <v>22.93577982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>
      <c r="B15" s="38">
        <v>5.0</v>
      </c>
      <c r="C15" s="39" t="s">
        <v>15</v>
      </c>
      <c r="D15" s="46">
        <f t="shared" si="3"/>
        <v>109</v>
      </c>
      <c r="E15" s="47">
        <v>1.0</v>
      </c>
      <c r="F15" s="48">
        <v>4.0</v>
      </c>
      <c r="G15" s="49">
        <f t="shared" ref="G15:G17" si="5">E15+F15</f>
        <v>5</v>
      </c>
      <c r="H15" s="44">
        <f t="shared" si="2"/>
        <v>4.587155963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>
      <c r="B16" s="38">
        <v>6.0</v>
      </c>
      <c r="C16" s="39" t="s">
        <v>16</v>
      </c>
      <c r="D16" s="46">
        <f t="shared" si="3"/>
        <v>109</v>
      </c>
      <c r="E16" s="47">
        <v>0.0</v>
      </c>
      <c r="F16" s="48">
        <v>1.0</v>
      </c>
      <c r="G16" s="49">
        <f t="shared" si="5"/>
        <v>1</v>
      </c>
      <c r="H16" s="44">
        <f t="shared" si="2"/>
        <v>0.9174311927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>
      <c r="B17" s="57">
        <v>7.0</v>
      </c>
      <c r="C17" s="39" t="s">
        <v>17</v>
      </c>
      <c r="D17" s="46">
        <f t="shared" si="3"/>
        <v>109</v>
      </c>
      <c r="E17" s="47">
        <v>0.0</v>
      </c>
      <c r="F17" s="48">
        <v>2.0</v>
      </c>
      <c r="G17" s="49">
        <f t="shared" si="5"/>
        <v>2</v>
      </c>
      <c r="H17" s="44">
        <f t="shared" si="2"/>
        <v>1.834862385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>
      <c r="B18" s="50">
        <v>8.0</v>
      </c>
      <c r="C18" s="51" t="s">
        <v>18</v>
      </c>
      <c r="D18" s="52">
        <f t="shared" si="3"/>
        <v>109</v>
      </c>
      <c r="E18" s="53">
        <f t="shared" ref="E18:G18" si="6">SUM(E15:E17)</f>
        <v>1</v>
      </c>
      <c r="F18" s="54">
        <f t="shared" si="6"/>
        <v>7</v>
      </c>
      <c r="G18" s="55">
        <f t="shared" si="6"/>
        <v>8</v>
      </c>
      <c r="H18" s="56">
        <f t="shared" si="2"/>
        <v>7.339449541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>
      <c r="B19" s="38">
        <v>9.0</v>
      </c>
      <c r="C19" s="39" t="s">
        <v>19</v>
      </c>
      <c r="D19" s="46">
        <f t="shared" si="3"/>
        <v>109</v>
      </c>
      <c r="E19" s="47">
        <v>2.0</v>
      </c>
      <c r="F19" s="48">
        <v>0.0</v>
      </c>
      <c r="G19" s="49">
        <f t="shared" ref="G19:G21" si="7">E19+F19</f>
        <v>2</v>
      </c>
      <c r="H19" s="44">
        <f t="shared" si="2"/>
        <v>1.834862385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>
      <c r="B20" s="38">
        <v>10.0</v>
      </c>
      <c r="C20" s="39" t="s">
        <v>20</v>
      </c>
      <c r="D20" s="46">
        <f t="shared" si="3"/>
        <v>109</v>
      </c>
      <c r="E20" s="47">
        <v>0.0</v>
      </c>
      <c r="F20" s="48">
        <v>1.0</v>
      </c>
      <c r="G20" s="49">
        <f t="shared" si="7"/>
        <v>1</v>
      </c>
      <c r="H20" s="44">
        <f t="shared" si="2"/>
        <v>0.9174311927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ht="15.75" customHeight="1">
      <c r="B21" s="38">
        <v>11.0</v>
      </c>
      <c r="C21" s="39" t="s">
        <v>21</v>
      </c>
      <c r="D21" s="46">
        <f t="shared" si="3"/>
        <v>109</v>
      </c>
      <c r="E21" s="47">
        <v>8.0</v>
      </c>
      <c r="F21" s="48">
        <v>32.0</v>
      </c>
      <c r="G21" s="49">
        <f t="shared" si="7"/>
        <v>40</v>
      </c>
      <c r="H21" s="44">
        <f t="shared" si="2"/>
        <v>36.69724771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ht="15.75" customHeight="1">
      <c r="B22" s="50">
        <v>12.0</v>
      </c>
      <c r="C22" s="51" t="s">
        <v>22</v>
      </c>
      <c r="D22" s="52">
        <f t="shared" si="3"/>
        <v>109</v>
      </c>
      <c r="E22" s="53">
        <f t="shared" ref="E22:G22" si="8">SUM(E19:E21)</f>
        <v>10</v>
      </c>
      <c r="F22" s="54">
        <f t="shared" si="8"/>
        <v>33</v>
      </c>
      <c r="G22" s="55">
        <f t="shared" si="8"/>
        <v>43</v>
      </c>
      <c r="H22" s="56">
        <f t="shared" si="2"/>
        <v>39.44954128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ht="15.75" customHeight="1">
      <c r="B23" s="38">
        <v>13.0</v>
      </c>
      <c r="C23" s="39" t="s">
        <v>23</v>
      </c>
      <c r="D23" s="46">
        <f t="shared" si="3"/>
        <v>109</v>
      </c>
      <c r="E23" s="47">
        <v>1.0</v>
      </c>
      <c r="F23" s="48">
        <v>2.0</v>
      </c>
      <c r="G23" s="49">
        <f t="shared" ref="G23:G25" si="9">E23+F23</f>
        <v>3</v>
      </c>
      <c r="H23" s="44">
        <f t="shared" si="2"/>
        <v>2.752293578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ht="15.75" customHeight="1">
      <c r="B24" s="38">
        <v>14.0</v>
      </c>
      <c r="C24" s="39" t="s">
        <v>24</v>
      </c>
      <c r="D24" s="46">
        <f t="shared" si="3"/>
        <v>109</v>
      </c>
      <c r="E24" s="47">
        <v>2.0</v>
      </c>
      <c r="F24" s="48">
        <v>3.0</v>
      </c>
      <c r="G24" s="49">
        <f t="shared" si="9"/>
        <v>5</v>
      </c>
      <c r="H24" s="44">
        <f t="shared" si="2"/>
        <v>4.587155963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ht="15.75" customHeight="1">
      <c r="B25" s="38">
        <v>15.0</v>
      </c>
      <c r="C25" s="39" t="s">
        <v>25</v>
      </c>
      <c r="D25" s="46">
        <f t="shared" si="3"/>
        <v>109</v>
      </c>
      <c r="E25" s="47">
        <v>12.0</v>
      </c>
      <c r="F25" s="48">
        <v>13.0</v>
      </c>
      <c r="G25" s="49">
        <f t="shared" si="9"/>
        <v>25</v>
      </c>
      <c r="H25" s="44">
        <f t="shared" si="2"/>
        <v>22.93577982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ht="15.75" customHeight="1">
      <c r="B26" s="58">
        <v>16.0</v>
      </c>
      <c r="C26" s="59" t="s">
        <v>26</v>
      </c>
      <c r="D26" s="60">
        <f t="shared" si="3"/>
        <v>109</v>
      </c>
      <c r="E26" s="61">
        <f t="shared" ref="E26:G26" si="10">SUM(E23:E25)</f>
        <v>15</v>
      </c>
      <c r="F26" s="62">
        <f t="shared" si="10"/>
        <v>18</v>
      </c>
      <c r="G26" s="63">
        <f t="shared" si="10"/>
        <v>33</v>
      </c>
      <c r="H26" s="64">
        <f t="shared" si="2"/>
        <v>30.27522936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ht="15.75" customHeight="1">
      <c r="B27" s="65" t="s">
        <v>9</v>
      </c>
      <c r="C27" s="66"/>
      <c r="D27" s="67">
        <f t="shared" si="3"/>
        <v>109</v>
      </c>
      <c r="E27" s="68">
        <f t="shared" ref="E27:F27" si="11">SUM(E26,E22,E18,E14)</f>
        <v>43</v>
      </c>
      <c r="F27" s="68">
        <f t="shared" si="11"/>
        <v>66</v>
      </c>
      <c r="G27" s="68">
        <f>E27+F27</f>
        <v>109</v>
      </c>
      <c r="H27" s="69">
        <f t="shared" si="2"/>
        <v>100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D5:D7"/>
    <mergeCell ref="E5:H6"/>
    <mergeCell ref="B8:B10"/>
    <mergeCell ref="C8:C10"/>
    <mergeCell ref="D8:D10"/>
    <mergeCell ref="E8:H9"/>
    <mergeCell ref="B27:C27"/>
    <mergeCell ref="B1:C3"/>
    <mergeCell ref="D1:E4"/>
    <mergeCell ref="F1:M4"/>
    <mergeCell ref="N1:R4"/>
    <mergeCell ref="B4:C4"/>
    <mergeCell ref="B5:B7"/>
    <mergeCell ref="C5:C7"/>
  </mergeCells>
  <printOptions gridLines="1" horizontalCentered="1"/>
  <pageMargins bottom="1.0" footer="0.0" header="0.0" left="1.0" right="1.0" top="1.0"/>
  <pageSetup paperSize="5" cellComments="atEnd" orientation="landscape" pageOrder="overThenDown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1.22" defaultRowHeight="15.0"/>
  <cols>
    <col customWidth="1" min="1" max="1" width="4.33"/>
    <col customWidth="1" min="2" max="2" width="28.44"/>
    <col customWidth="1" min="3" max="3" width="30.78"/>
    <col customWidth="1" min="4" max="4" width="27.89"/>
    <col customWidth="1" min="5" max="11" width="16.78"/>
    <col customWidth="1" min="12" max="18" width="11.22"/>
    <col customWidth="1" min="19" max="19" width="4.78"/>
  </cols>
  <sheetData>
    <row r="1">
      <c r="A1" s="70" t="s">
        <v>27</v>
      </c>
      <c r="B1" s="2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>
      <c r="A2" s="8"/>
      <c r="C2" s="73" t="s">
        <v>28</v>
      </c>
      <c r="D2" s="71"/>
      <c r="E2" s="71"/>
      <c r="F2" s="71"/>
      <c r="G2" s="71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>
      <c r="A3" s="8"/>
      <c r="C3" s="73" t="s">
        <v>29</v>
      </c>
      <c r="D3" s="71"/>
      <c r="E3" s="71"/>
      <c r="F3" s="71"/>
      <c r="G3" s="71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4" ht="31.5" customHeight="1">
      <c r="A4" s="74" t="s">
        <v>30</v>
      </c>
      <c r="B4" s="10"/>
      <c r="C4" s="71"/>
      <c r="D4" s="71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>
      <c r="A6" s="75"/>
      <c r="B6" s="76" t="s">
        <v>31</v>
      </c>
      <c r="C6" s="77" t="s">
        <v>32</v>
      </c>
      <c r="D6" s="78"/>
      <c r="E6" s="78"/>
      <c r="F6" s="78"/>
      <c r="G6" s="78"/>
      <c r="H6" s="78"/>
      <c r="I6" s="79"/>
      <c r="J6" s="75"/>
      <c r="K6" s="75"/>
      <c r="L6" s="75"/>
      <c r="M6" s="75"/>
      <c r="N6" s="75"/>
      <c r="O6" s="75"/>
      <c r="P6" s="75"/>
      <c r="Q6" s="75"/>
    </row>
    <row r="7">
      <c r="A7" s="80"/>
      <c r="B7" s="81"/>
      <c r="C7" s="82" t="s">
        <v>33</v>
      </c>
      <c r="D7" s="82" t="s">
        <v>34</v>
      </c>
      <c r="E7" s="82" t="s">
        <v>35</v>
      </c>
      <c r="F7" s="82" t="s">
        <v>36</v>
      </c>
      <c r="G7" s="82" t="s">
        <v>37</v>
      </c>
      <c r="H7" s="82" t="s">
        <v>38</v>
      </c>
      <c r="I7" s="82" t="s">
        <v>39</v>
      </c>
      <c r="J7" s="80"/>
      <c r="K7" s="80"/>
      <c r="L7" s="80"/>
      <c r="M7" s="80"/>
      <c r="N7" s="80"/>
      <c r="O7" s="80"/>
      <c r="P7" s="80"/>
      <c r="Q7" s="80"/>
    </row>
    <row r="8">
      <c r="A8" s="75"/>
      <c r="B8" s="83"/>
      <c r="C8" s="84">
        <v>1.0</v>
      </c>
      <c r="D8" s="84">
        <v>2.0</v>
      </c>
      <c r="E8" s="84">
        <v>3.0</v>
      </c>
      <c r="F8" s="84">
        <v>4.0</v>
      </c>
      <c r="G8" s="84">
        <v>5.0</v>
      </c>
      <c r="H8" s="84">
        <v>6.0</v>
      </c>
      <c r="I8" s="84">
        <v>7.0</v>
      </c>
      <c r="J8" s="85"/>
      <c r="K8" s="85"/>
      <c r="L8" s="85"/>
      <c r="M8" s="85"/>
      <c r="N8" s="85"/>
      <c r="O8" s="85"/>
      <c r="P8" s="85"/>
      <c r="Q8" s="75"/>
    </row>
    <row r="9">
      <c r="B9" s="86" t="str">
        <f>'SPM-Uspro'!$C$13</f>
        <v>#REF!</v>
      </c>
      <c r="C9" s="87">
        <f>IFERROR(__xludf.DUMMYFUNCTION("IMPORTRANGE(""https://docs.google.com/spreadsheets/d/1P0UTisakTE5EAx-MYEjY2DmhSnLNqqRm6P3NrlYXL2I/edit#gid=1892753874"",""Rekap KTR!$E$6"")"),6.0)</f>
        <v>6</v>
      </c>
      <c r="D9" s="87">
        <f>IFERROR(__xludf.DUMMYFUNCTION("IMPORTRANGE(""https://docs.google.com/spreadsheets/d/1P0UTisakTE5EAx-MYEjY2DmhSnLNqqRm6P3NrlYXL2I/edit#gid=1892753874"",""Rekap KTR!$E$7"")"),26.0)</f>
        <v>26</v>
      </c>
      <c r="E9" s="87">
        <f>IFERROR(__xludf.DUMMYFUNCTION("IMPORTRANGE(""https://docs.google.com/spreadsheets/d/1P0UTisakTE5EAx-MYEjY2DmhSnLNqqRm6P3NrlYXL2I/edit#gid=1892753874"",""Rekap KTR!$E$8"")"),56.0)</f>
        <v>56</v>
      </c>
      <c r="F9" s="87">
        <f>IFERROR(__xludf.DUMMYFUNCTION("IMPORTRANGE(""https://docs.google.com/spreadsheets/d/1P0UTisakTE5EAx-MYEjY2DmhSnLNqqRm6P3NrlYXL2I/edit#gid=1892753874"",""Rekap KTR!$E$9"")"),8.0)</f>
        <v>8</v>
      </c>
      <c r="G9" s="87">
        <f>IFERROR(__xludf.DUMMYFUNCTION("IMPORTRANGE(""https://docs.google.com/spreadsheets/d/1P0UTisakTE5EAx-MYEjY2DmhSnLNqqRm6P3NrlYXL2I/edit#gid=1892753874"",""Rekap KTR!$E$10"")"),0.0)</f>
        <v>0</v>
      </c>
      <c r="H9" s="87">
        <f>IFERROR(__xludf.DUMMYFUNCTION("IMPORTRANGE(""https://docs.google.com/spreadsheets/d/1P0UTisakTE5EAx-MYEjY2DmhSnLNqqRm6P3NrlYXL2I/edit#gid=1892753874"",""Rekap KTR!$E$11"")"),8.0)</f>
        <v>8</v>
      </c>
      <c r="I9" s="87">
        <f>IFERROR(__xludf.DUMMYFUNCTION("IMPORTRANGE(""https://docs.google.com/spreadsheets/d/1P0UTisakTE5EAx-MYEjY2DmhSnLNqqRm6P3NrlYXL2I/edit#gid=1892753874"",""Rekap KTR!$E$12"")"),0.0)</f>
        <v>0</v>
      </c>
    </row>
    <row r="10">
      <c r="B10" s="86" t="str">
        <f>'SPM-Uspro'!$C$14</f>
        <v>#REF!</v>
      </c>
      <c r="C10" s="87">
        <f>IFERROR(__xludf.DUMMYFUNCTION("IMPORTRANGE(""https://docs.google.com/spreadsheets/d/1jB-UnyPBzGq1HOZkIVtft_Wo28OEKcZNsVgS5r_boTE/edit#gid=1522333227"",""Rekap KTR!$E$6"")"),12.0)</f>
        <v>12</v>
      </c>
      <c r="D10" s="87">
        <f>IFERROR(__xludf.DUMMYFUNCTION("IMPORTRANGE(""https://docs.google.com/spreadsheets/d/1jB-UnyPBzGq1HOZkIVtft_Wo28OEKcZNsVgS5r_boTE/edit#gid=1522333227"",""Rekap KTR!$E$7"")"),53.0)</f>
        <v>53</v>
      </c>
      <c r="E10" s="87">
        <f>IFERROR(__xludf.DUMMYFUNCTION("IMPORTRANGE(""https://docs.google.com/spreadsheets/d/1jB-UnyPBzGq1HOZkIVtft_Wo28OEKcZNsVgS5r_boTE/edit#gid=1522333227"",""Rekap KTR!$E$8"")"),56.0)</f>
        <v>56</v>
      </c>
      <c r="F10" s="87" t="str">
        <f>IFERROR(__xludf.DUMMYFUNCTION("IMPORTRANGE(""https://docs.google.com/spreadsheets/d/1jB-UnyPBzGq1HOZkIVtft_Wo28OEKcZNsVgS5r_boTE/edit#gid=1522333227"",""Rekap KTR!$E$9"")"),"")</f>
        <v/>
      </c>
      <c r="G10" s="87">
        <f>IFERROR(__xludf.DUMMYFUNCTION("IMPORTRANGE(""https://docs.google.com/spreadsheets/d/1jB-UnyPBzGq1HOZkIVtft_Wo28OEKcZNsVgS5r_boTE/edit#gid=1522333227"",""Rekap KTR!$E$10"")"),0.0)</f>
        <v>0</v>
      </c>
      <c r="H10" s="87" t="str">
        <f>IFERROR(__xludf.DUMMYFUNCTION("IMPORTRANGE(""https://docs.google.com/spreadsheets/d/1jB-UnyPBzGq1HOZkIVtft_Wo28OEKcZNsVgS5r_boTE/edit#gid=1522333227"",""Rekap KTR!$E$11"")"),"")</f>
        <v/>
      </c>
      <c r="I10" s="87">
        <f>IFERROR(__xludf.DUMMYFUNCTION("IMPORTRANGE(""https://docs.google.com/spreadsheets/d/1jB-UnyPBzGq1HOZkIVtft_Wo28OEKcZNsVgS5r_boTE/edit#gid=1522333227"",""Rekap KTR!$E$12"")"),0.0)</f>
        <v>0</v>
      </c>
    </row>
    <row r="11">
      <c r="B11" s="86" t="str">
        <f>'SPM-Uspro'!$C$15</f>
        <v>#REF!</v>
      </c>
      <c r="C11" s="87">
        <f>IFERROR(__xludf.DUMMYFUNCTION("IMPORTRANGE(""https://docs.google.com/spreadsheets/d/1gHFrRpJ5fnyxfJI-jxT5z1B1L7rSV8E5sIZEN90Rfhc/edit#gid=1522333227"",""Rekap KTR!$E$6"")"),4.0)</f>
        <v>4</v>
      </c>
      <c r="D11" s="87">
        <f>IFERROR(__xludf.DUMMYFUNCTION("IMPORTRANGE(""https://docs.google.com/spreadsheets/d/1gHFrRpJ5fnyxfJI-jxT5z1B1L7rSV8E5sIZEN90Rfhc/edit#gid=1522333227"",""Rekap KTR!$E$7"")"),29.0)</f>
        <v>29</v>
      </c>
      <c r="E11" s="87">
        <f>IFERROR(__xludf.DUMMYFUNCTION("IMPORTRANGE(""https://docs.google.com/spreadsheets/d/1gHFrRpJ5fnyxfJI-jxT5z1B1L7rSV8E5sIZEN90Rfhc/edit#gid=1522333227"",""Rekap KTR!$E$8"")"),31.0)</f>
        <v>31</v>
      </c>
      <c r="F11" s="87" t="str">
        <f>IFERROR(__xludf.DUMMYFUNCTION("IMPORTRANGE(""https://docs.google.com/spreadsheets/d/1gHFrRpJ5fnyxfJI-jxT5z1B1L7rSV8E5sIZEN90Rfhc/edit#gid=1522333227"",""Rekap KTR!$E$9"")"),"")</f>
        <v/>
      </c>
      <c r="G11" s="87" t="str">
        <f>IFERROR(__xludf.DUMMYFUNCTION("IMPORTRANGE(""https://docs.google.com/spreadsheets/d/1gHFrRpJ5fnyxfJI-jxT5z1B1L7rSV8E5sIZEN90Rfhc/edit#gid=1522333227"",""Rekap KTR!$E$10"")"),"")</f>
        <v/>
      </c>
      <c r="H11" s="87" t="str">
        <f>IFERROR(__xludf.DUMMYFUNCTION("IMPORTRANGE(""https://docs.google.com/spreadsheets/d/1gHFrRpJ5fnyxfJI-jxT5z1B1L7rSV8E5sIZEN90Rfhc/edit#gid=1522333227"",""Rekap KTR!$E$11"")"),"")</f>
        <v/>
      </c>
      <c r="I11" s="87" t="str">
        <f>IFERROR(__xludf.DUMMYFUNCTION("IMPORTRANGE(""https://docs.google.com/spreadsheets/d/1gHFrRpJ5fnyxfJI-jxT5z1B1L7rSV8E5sIZEN90Rfhc/edit#gid=1522333227"",""Rekap KTR!$E$12"")"),"")</f>
        <v/>
      </c>
    </row>
    <row r="12">
      <c r="B12" s="86" t="str">
        <f>'SPM-Uspro'!$C$16</f>
        <v>#REF!</v>
      </c>
      <c r="C12" s="87">
        <f>IFERROR(__xludf.DUMMYFUNCTION("IMPORTRANGE(""https://docs.google.com/spreadsheets/d/1saC2UP2JuYJ7WRPxjh8EMf_BSfGZ18Ous8sVKGLr-Ng/edit#gid=1892753874"",""Rekap KTR!$E$6"")"),8.0)</f>
        <v>8</v>
      </c>
      <c r="D12" s="87">
        <f>IFERROR(__xludf.DUMMYFUNCTION("IMPORTRANGE(""https://docs.google.com/spreadsheets/d/1saC2UP2JuYJ7WRPxjh8EMf_BSfGZ18Ous8sVKGLr-Ng/edit#gid=1892753874"",""Rekap KTR!$E$7"")"),41.0)</f>
        <v>41</v>
      </c>
      <c r="E12" s="87">
        <f>IFERROR(__xludf.DUMMYFUNCTION("IMPORTRANGE(""https://docs.google.com/spreadsheets/d/1saC2UP2JuYJ7WRPxjh8EMf_BSfGZ18Ous8sVKGLr-Ng/edit#gid=1892753874"",""Rekap KTR!$E$8"")"),41.0)</f>
        <v>41</v>
      </c>
      <c r="F12" s="87">
        <f>IFERROR(__xludf.DUMMYFUNCTION("IMPORTRANGE(""https://docs.google.com/spreadsheets/d/1saC2UP2JuYJ7WRPxjh8EMf_BSfGZ18Ous8sVKGLr-Ng/edit#gid=1892753874"",""Rekap KTR!$E$9"")"),14.0)</f>
        <v>14</v>
      </c>
      <c r="G12" s="87">
        <f>IFERROR(__xludf.DUMMYFUNCTION("IMPORTRANGE(""https://docs.google.com/spreadsheets/d/1saC2UP2JuYJ7WRPxjh8EMf_BSfGZ18Ous8sVKGLr-Ng/edit#gid=1892753874"",""Rekap KTR!$E$10"")"),0.0)</f>
        <v>0</v>
      </c>
      <c r="H12" s="87">
        <f>IFERROR(__xludf.DUMMYFUNCTION("IMPORTRANGE(""https://docs.google.com/spreadsheets/d/1saC2UP2JuYJ7WRPxjh8EMf_BSfGZ18Ous8sVKGLr-Ng/edit#gid=1892753874"",""Rekap KTR!$E$11"")"),0.0)</f>
        <v>0</v>
      </c>
      <c r="I12" s="87">
        <f>IFERROR(__xludf.DUMMYFUNCTION("IMPORTRANGE(""https://docs.google.com/spreadsheets/d/1saC2UP2JuYJ7WRPxjh8EMf_BSfGZ18Ous8sVKGLr-Ng/edit#gid=1892753874"",""Rekap KTR!$E$12"")"),0.0)</f>
        <v>0</v>
      </c>
    </row>
    <row r="13">
      <c r="B13" s="86" t="str">
        <f>'SPM-Uspro'!$C$17</f>
        <v>#REF!</v>
      </c>
      <c r="C13" s="87">
        <f>IFERROR(__xludf.DUMMYFUNCTION("IMPORTRANGE(""https://docs.google.com/spreadsheets/d/1ApPPV7RPuDI1EDOKjkoDXkV5Yd_NofeQTYTtAHUYGGw/edit#gid=1522333227"",""Rekap KTR!$E$6"")"),3.0)</f>
        <v>3</v>
      </c>
      <c r="D13" s="87">
        <f>IFERROR(__xludf.DUMMYFUNCTION("IMPORTRANGE(""https://docs.google.com/spreadsheets/d/1ApPPV7RPuDI1EDOKjkoDXkV5Yd_NofeQTYTtAHUYGGw/edit#gid=1522333227"",""Rekap KTR!$E$7"")"),20.0)</f>
        <v>20</v>
      </c>
      <c r="E13" s="87">
        <f>IFERROR(__xludf.DUMMYFUNCTION("IMPORTRANGE(""https://docs.google.com/spreadsheets/d/1ApPPV7RPuDI1EDOKjkoDXkV5Yd_NofeQTYTtAHUYGGw/edit#gid=1522333227"",""Rekap KTR!$E$8"")"),6.0)</f>
        <v>6</v>
      </c>
      <c r="F13" s="87" t="str">
        <f>IFERROR(__xludf.DUMMYFUNCTION("IMPORTRANGE(""https://docs.google.com/spreadsheets/d/1ApPPV7RPuDI1EDOKjkoDXkV5Yd_NofeQTYTtAHUYGGw/edit#gid=1522333227"",""Rekap KTR!$E$9"")"),"")</f>
        <v/>
      </c>
      <c r="G13" s="87" t="str">
        <f>IFERROR(__xludf.DUMMYFUNCTION("IMPORTRANGE(""https://docs.google.com/spreadsheets/d/1ApPPV7RPuDI1EDOKjkoDXkV5Yd_NofeQTYTtAHUYGGw/edit#gid=1522333227"",""Rekap KTR!$E$10"")"),"")</f>
        <v/>
      </c>
      <c r="H13" s="87" t="str">
        <f>IFERROR(__xludf.DUMMYFUNCTION("IMPORTRANGE(""https://docs.google.com/spreadsheets/d/1ApPPV7RPuDI1EDOKjkoDXkV5Yd_NofeQTYTtAHUYGGw/edit#gid=1522333227"",""Rekap KTR!$E$11"")"),"")</f>
        <v/>
      </c>
      <c r="I13" s="87" t="str">
        <f>IFERROR(__xludf.DUMMYFUNCTION("IMPORTRANGE(""https://docs.google.com/spreadsheets/d/1ApPPV7RPuDI1EDOKjkoDXkV5Yd_NofeQTYTtAHUYGGw/edit#gid=1522333227"",""Rekap KTR!$E$12"")"),"")</f>
        <v/>
      </c>
    </row>
    <row r="14">
      <c r="B14" s="86" t="str">
        <f>'SPM-Uspro'!$C$18</f>
        <v>#REF!</v>
      </c>
      <c r="C14" s="87">
        <f>IFERROR(__xludf.DUMMYFUNCTION("IMPORTRANGE(""https://docs.google.com/spreadsheets/d/1iV_nqIfkAdyO_vl_QARxWbfnGcK2KlCCS94aVJ2QbTI/edit#gid=1522333227"",""Rekap KTR!$E$6"")"),6.0)</f>
        <v>6</v>
      </c>
      <c r="D14" s="87">
        <f>IFERROR(__xludf.DUMMYFUNCTION("IMPORTRANGE(""https://docs.google.com/spreadsheets/d/1iV_nqIfkAdyO_vl_QARxWbfnGcK2KlCCS94aVJ2QbTI/edit#gid=1522333227"",""Rekap KTR!$E$7"")"),26.0)</f>
        <v>26</v>
      </c>
      <c r="E14" s="87">
        <f>IFERROR(__xludf.DUMMYFUNCTION("IMPORTRANGE(""https://docs.google.com/spreadsheets/d/1iV_nqIfkAdyO_vl_QARxWbfnGcK2KlCCS94aVJ2QbTI/edit#gid=1522333227"",""Rekap KTR!$E$8"")"),13.0)</f>
        <v>13</v>
      </c>
      <c r="F14" s="87">
        <f>IFERROR(__xludf.DUMMYFUNCTION("IMPORTRANGE(""https://docs.google.com/spreadsheets/d/1iV_nqIfkAdyO_vl_QARxWbfnGcK2KlCCS94aVJ2QbTI/edit#gid=1522333227"",""Rekap KTR!$E$9"")"),0.0)</f>
        <v>0</v>
      </c>
      <c r="G14" s="87">
        <f>IFERROR(__xludf.DUMMYFUNCTION("IMPORTRANGE(""https://docs.google.com/spreadsheets/d/1iV_nqIfkAdyO_vl_QARxWbfnGcK2KlCCS94aVJ2QbTI/edit#gid=1522333227"",""Rekap KTR!$E$10"")"),0.0)</f>
        <v>0</v>
      </c>
      <c r="H14" s="87">
        <f>IFERROR(__xludf.DUMMYFUNCTION("IMPORTRANGE(""https://docs.google.com/spreadsheets/d/1iV_nqIfkAdyO_vl_QARxWbfnGcK2KlCCS94aVJ2QbTI/edit#gid=1522333227"",""Rekap KTR!$E$11"")"),0.0)</f>
        <v>0</v>
      </c>
      <c r="I14" s="87">
        <f>IFERROR(__xludf.DUMMYFUNCTION("IMPORTRANGE(""https://docs.google.com/spreadsheets/d/1iV_nqIfkAdyO_vl_QARxWbfnGcK2KlCCS94aVJ2QbTI/edit#gid=1522333227"",""Rekap KTR!$E$12"")"),0.0)</f>
        <v>0</v>
      </c>
    </row>
    <row r="15">
      <c r="B15" s="86" t="str">
        <f>'SPM-Uspro'!$C$19</f>
        <v>#REF!</v>
      </c>
      <c r="C15" s="87">
        <f>IFERROR(__xludf.DUMMYFUNCTION("IMPORTRANGE(""https://docs.google.com/spreadsheets/d/1zz70Lj6oBg1MOPSG6KJcsMeqBNtXMHYICRkg7kpt_d0/edit#gid=1892753874"",""Rekap KTR!$E$6"")"),9.0)</f>
        <v>9</v>
      </c>
      <c r="D15" s="87">
        <f>IFERROR(__xludf.DUMMYFUNCTION("IMPORTRANGE(""https://docs.google.com/spreadsheets/d/1zz70Lj6oBg1MOPSG6KJcsMeqBNtXMHYICRkg7kpt_d0/edit#gid=1892753874"",""Rekap KTR!$E$7"")"),47.0)</f>
        <v>47</v>
      </c>
      <c r="E15" s="87">
        <f>IFERROR(__xludf.DUMMYFUNCTION("IMPORTRANGE(""https://docs.google.com/spreadsheets/d/1zz70Lj6oBg1MOPSG6KJcsMeqBNtXMHYICRkg7kpt_d0/edit#gid=1892753874"",""Rekap KTR!$E$8"")"),29.0)</f>
        <v>29</v>
      </c>
      <c r="F15" s="87">
        <f>IFERROR(__xludf.DUMMYFUNCTION("IMPORTRANGE(""https://docs.google.com/spreadsheets/d/1zz70Lj6oBg1MOPSG6KJcsMeqBNtXMHYICRkg7kpt_d0/edit#gid=1892753874"",""Rekap KTR!$E$9"")"),3.0)</f>
        <v>3</v>
      </c>
      <c r="G15" s="87">
        <f>IFERROR(__xludf.DUMMYFUNCTION("IMPORTRANGE(""https://docs.google.com/spreadsheets/d/1zz70Lj6oBg1MOPSG6KJcsMeqBNtXMHYICRkg7kpt_d0/edit#gid=1892753874"",""Rekap KTR!$E$10"")"),1.0)</f>
        <v>1</v>
      </c>
      <c r="H15" s="87">
        <f>IFERROR(__xludf.DUMMYFUNCTION("IMPORTRANGE(""https://docs.google.com/spreadsheets/d/1zz70Lj6oBg1MOPSG6KJcsMeqBNtXMHYICRkg7kpt_d0/edit#gid=1892753874"",""Rekap KTR!$E$11"")"),4.0)</f>
        <v>4</v>
      </c>
      <c r="I15" s="87">
        <f>IFERROR(__xludf.DUMMYFUNCTION("IMPORTRANGE(""https://docs.google.com/spreadsheets/d/1zz70Lj6oBg1MOPSG6KJcsMeqBNtXMHYICRkg7kpt_d0/edit#gid=1892753874"",""Rekap KTR!$E$12"")"),4.0)</f>
        <v>4</v>
      </c>
    </row>
    <row r="16">
      <c r="B16" s="86" t="str">
        <f>'SPM-Uspro'!$C$20</f>
        <v>#REF!</v>
      </c>
      <c r="C16" s="87">
        <f>IFERROR(__xludf.DUMMYFUNCTION("IMPORTRANGE(""https://docs.google.com/spreadsheets/d/1773f1iHRnXhbrVjAHR7zUpu3neZdvtp1a2ikB9LJu8U/edit#gid=1522333227"",""Rekap KTR!$E$6"")"),39.0)</f>
        <v>39</v>
      </c>
      <c r="D16" s="87">
        <f>IFERROR(__xludf.DUMMYFUNCTION("IMPORTRANGE(""https://docs.google.com/spreadsheets/d/1773f1iHRnXhbrVjAHR7zUpu3neZdvtp1a2ikB9LJu8U/edit#gid=1522333227"",""Rekap KTR!$E$7"")"),43.0)</f>
        <v>43</v>
      </c>
      <c r="E16" s="87">
        <f>IFERROR(__xludf.DUMMYFUNCTION("IMPORTRANGE(""https://docs.google.com/spreadsheets/d/1773f1iHRnXhbrVjAHR7zUpu3neZdvtp1a2ikB9LJu8U/edit#gid=1522333227"",""Rekap KTR!$E$8"")"),32.0)</f>
        <v>32</v>
      </c>
      <c r="F16" s="87">
        <f>IFERROR(__xludf.DUMMYFUNCTION("IMPORTRANGE(""https://docs.google.com/spreadsheets/d/1773f1iHRnXhbrVjAHR7zUpu3neZdvtp1a2ikB9LJu8U/edit#gid=1522333227"",""Rekap KTR!$E$9"")"),21.0)</f>
        <v>21</v>
      </c>
      <c r="G16" s="87">
        <f>IFERROR(__xludf.DUMMYFUNCTION("IMPORTRANGE(""https://docs.google.com/spreadsheets/d/1773f1iHRnXhbrVjAHR7zUpu3neZdvtp1a2ikB9LJu8U/edit#gid=1522333227"",""Rekap KTR!$E$10"")"),0.0)</f>
        <v>0</v>
      </c>
      <c r="H16" s="87">
        <f>IFERROR(__xludf.DUMMYFUNCTION("IMPORTRANGE(""https://docs.google.com/spreadsheets/d/1773f1iHRnXhbrVjAHR7zUpu3neZdvtp1a2ikB9LJu8U/edit#gid=1522333227"",""Rekap KTR!$E$11"")"),16.0)</f>
        <v>16</v>
      </c>
      <c r="I16" s="87">
        <f>IFERROR(__xludf.DUMMYFUNCTION("IMPORTRANGE(""https://docs.google.com/spreadsheets/d/1773f1iHRnXhbrVjAHR7zUpu3neZdvtp1a2ikB9LJu8U/edit#gid=1522333227"",""Rekap KTR!$E$12"")"),0.0)</f>
        <v>0</v>
      </c>
    </row>
    <row r="17">
      <c r="B17" s="86" t="str">
        <f>'SPM-Uspro'!$C$21</f>
        <v>#REF!</v>
      </c>
      <c r="C17" s="87">
        <f>IFERROR(__xludf.DUMMYFUNCTION("IMPORTRANGE(""https://docs.google.com/spreadsheets/d/10iNzN1LqaStEosZKEbqcoOm3IdodNsG31q_nR0Y6WGo/edit#gid=1522333227"",""Rekap KTR!$E$6"")"),1.0)</f>
        <v>1</v>
      </c>
      <c r="D17" s="87">
        <f>IFERROR(__xludf.DUMMYFUNCTION("IMPORTRANGE(""https://docs.google.com/spreadsheets/d/10iNzN1LqaStEosZKEbqcoOm3IdodNsG31q_nR0Y6WGo/edit#gid=1522333227"",""Rekap KTR!$E$7"")"),27.0)</f>
        <v>27</v>
      </c>
      <c r="E17" s="87">
        <f>IFERROR(__xludf.DUMMYFUNCTION("IMPORTRANGE(""https://docs.google.com/spreadsheets/d/10iNzN1LqaStEosZKEbqcoOm3IdodNsG31q_nR0Y6WGo/edit#gid=1522333227"",""Rekap KTR!$E$8"")"),2.0)</f>
        <v>2</v>
      </c>
      <c r="F17" s="87">
        <f>IFERROR(__xludf.DUMMYFUNCTION("IMPORTRANGE(""https://docs.google.com/spreadsheets/d/10iNzN1LqaStEosZKEbqcoOm3IdodNsG31q_nR0Y6WGo/edit#gid=1522333227"",""Rekap KTR!$E$9"")"),3.0)</f>
        <v>3</v>
      </c>
      <c r="G17" s="87">
        <f>IFERROR(__xludf.DUMMYFUNCTION("IMPORTRANGE(""https://docs.google.com/spreadsheets/d/10iNzN1LqaStEosZKEbqcoOm3IdodNsG31q_nR0Y6WGo/edit#gid=1522333227"",""Rekap KTR!$E$10"")"),0.0)</f>
        <v>0</v>
      </c>
      <c r="H17" s="87">
        <f>IFERROR(__xludf.DUMMYFUNCTION("IMPORTRANGE(""https://docs.google.com/spreadsheets/d/10iNzN1LqaStEosZKEbqcoOm3IdodNsG31q_nR0Y6WGo/edit#gid=1522333227"",""Rekap KTR!$E$11"")"),2.0)</f>
        <v>2</v>
      </c>
      <c r="I17" s="87">
        <f>IFERROR(__xludf.DUMMYFUNCTION("IMPORTRANGE(""https://docs.google.com/spreadsheets/d/10iNzN1LqaStEosZKEbqcoOm3IdodNsG31q_nR0Y6WGo/edit#gid=1522333227"",""Rekap KTR!$E$12"")"),1.0)</f>
        <v>1</v>
      </c>
    </row>
    <row r="18">
      <c r="B18" s="86" t="str">
        <f>'SPM-Uspro'!$C$22</f>
        <v>#REF!</v>
      </c>
      <c r="C18" s="87">
        <f>IFERROR(__xludf.DUMMYFUNCTION("IMPORTRANGE(""https://docs.google.com/spreadsheets/d/17PsIU8VcCQeO2M4DM42K9vv32GkafaaF1LxQevQ8tAQ/edit#gid=1892753874"",""Rekap KTR!$E$6"")"),2.0)</f>
        <v>2</v>
      </c>
      <c r="D18" s="87">
        <f>IFERROR(__xludf.DUMMYFUNCTION("IMPORTRANGE(""https://docs.google.com/spreadsheets/d/17PsIU8VcCQeO2M4DM42K9vv32GkafaaF1LxQevQ8tAQ/edit#gid=1892753874"",""Rekap KTR!$E$7"")"),21.0)</f>
        <v>21</v>
      </c>
      <c r="E18" s="87">
        <f>IFERROR(__xludf.DUMMYFUNCTION("IMPORTRANGE(""https://docs.google.com/spreadsheets/d/17PsIU8VcCQeO2M4DM42K9vv32GkafaaF1LxQevQ8tAQ/edit#gid=1892753874"",""Rekap KTR!$E$8"")"),17.0)</f>
        <v>17</v>
      </c>
      <c r="F18" s="87">
        <f>IFERROR(__xludf.DUMMYFUNCTION("IMPORTRANGE(""https://docs.google.com/spreadsheets/d/17PsIU8VcCQeO2M4DM42K9vv32GkafaaF1LxQevQ8tAQ/edit#gid=1892753874"",""Rekap KTR!$E$9"")"),0.0)</f>
        <v>0</v>
      </c>
      <c r="G18" s="87">
        <f>IFERROR(__xludf.DUMMYFUNCTION("IMPORTRANGE(""https://docs.google.com/spreadsheets/d/17PsIU8VcCQeO2M4DM42K9vv32GkafaaF1LxQevQ8tAQ/edit#gid=1892753874"",""Rekap KTR!$E$10"")"),0.0)</f>
        <v>0</v>
      </c>
      <c r="H18" s="87">
        <f>IFERROR(__xludf.DUMMYFUNCTION("IMPORTRANGE(""https://docs.google.com/spreadsheets/d/17PsIU8VcCQeO2M4DM42K9vv32GkafaaF1LxQevQ8tAQ/edit#gid=1892753874"",""Rekap KTR!$E$11"")"),0.0)</f>
        <v>0</v>
      </c>
      <c r="I18" s="87">
        <f>IFERROR(__xludf.DUMMYFUNCTION("IMPORTRANGE(""https://docs.google.com/spreadsheets/d/17PsIU8VcCQeO2M4DM42K9vv32GkafaaF1LxQevQ8tAQ/edit#gid=1892753874"",""Rekap KTR!$E$12"")"),0.0)</f>
        <v>0</v>
      </c>
    </row>
    <row r="19">
      <c r="B19" s="86" t="str">
        <f>'SPM-Uspro'!$C$23</f>
        <v>#REF!</v>
      </c>
      <c r="C19" s="87">
        <f>IFERROR(__xludf.DUMMYFUNCTION("IMPORTRANGE(""https://docs.google.com/spreadsheets/d/1d0Y9C6M4-a1TT0nIK2Gc4IXnbVyxoBB3v7o1biNGAwY/edit#gid=1892753874"",""Rekap KTR!$E$6"")"),6.0)</f>
        <v>6</v>
      </c>
      <c r="D19" s="87">
        <f>IFERROR(__xludf.DUMMYFUNCTION("IMPORTRANGE(""https://docs.google.com/spreadsheets/d/1d0Y9C6M4-a1TT0nIK2Gc4IXnbVyxoBB3v7o1biNGAwY/edit#gid=1892753874"",""Rekap KTR!$E$7"")"),27.0)</f>
        <v>27</v>
      </c>
      <c r="E19" s="87">
        <f>IFERROR(__xludf.DUMMYFUNCTION("IMPORTRANGE(""https://docs.google.com/spreadsheets/d/1d0Y9C6M4-a1TT0nIK2Gc4IXnbVyxoBB3v7o1biNGAwY/edit#gid=1892753874"",""Rekap KTR!$E$8"")"),7.0)</f>
        <v>7</v>
      </c>
      <c r="F19" s="87">
        <f>IFERROR(__xludf.DUMMYFUNCTION("IMPORTRANGE(""https://docs.google.com/spreadsheets/d/1d0Y9C6M4-a1TT0nIK2Gc4IXnbVyxoBB3v7o1biNGAwY/edit#gid=1892753874"",""Rekap KTR!$E$9"")"),0.0)</f>
        <v>0</v>
      </c>
      <c r="G19" s="87">
        <f>IFERROR(__xludf.DUMMYFUNCTION("IMPORTRANGE(""https://docs.google.com/spreadsheets/d/1d0Y9C6M4-a1TT0nIK2Gc4IXnbVyxoBB3v7o1biNGAwY/edit#gid=1892753874"",""Rekap KTR!$E$10"")"),0.0)</f>
        <v>0</v>
      </c>
      <c r="H19" s="87">
        <f>IFERROR(__xludf.DUMMYFUNCTION("IMPORTRANGE(""https://docs.google.com/spreadsheets/d/1d0Y9C6M4-a1TT0nIK2Gc4IXnbVyxoBB3v7o1biNGAwY/edit#gid=1892753874"",""Rekap KTR!$E$11"")"),0.0)</f>
        <v>0</v>
      </c>
      <c r="I19" s="87">
        <f>IFERROR(__xludf.DUMMYFUNCTION("IMPORTRANGE(""https://docs.google.com/spreadsheets/d/1d0Y9C6M4-a1TT0nIK2Gc4IXnbVyxoBB3v7o1biNGAwY/edit#gid=1892753874"",""Rekap KTR!$E$12"")"),0.0)</f>
        <v>0</v>
      </c>
    </row>
    <row r="20">
      <c r="B20" s="86" t="str">
        <f>'SPM-Uspro'!$C$24</f>
        <v>#REF!</v>
      </c>
      <c r="C20" s="87">
        <f>IFERROR(__xludf.DUMMYFUNCTION("IMPORTRANGE(""https://docs.google.com/spreadsheets/d/1fXA1yQzUNddp7fjR2KF22o4rRJu9lP9Ja9Oi1mRbg_E/edit#gid=1892753874"",""Rekap KTR!$E$6"")"),2.0)</f>
        <v>2</v>
      </c>
      <c r="D20" s="87">
        <f>IFERROR(__xludf.DUMMYFUNCTION("IMPORTRANGE(""https://docs.google.com/spreadsheets/d/1fXA1yQzUNddp7fjR2KF22o4rRJu9lP9Ja9Oi1mRbg_E/edit#gid=1892753874"",""Rekap KTR!$E$7"")"),31.0)</f>
        <v>31</v>
      </c>
      <c r="E20" s="87">
        <f>IFERROR(__xludf.DUMMYFUNCTION("IMPORTRANGE(""https://docs.google.com/spreadsheets/d/1fXA1yQzUNddp7fjR2KF22o4rRJu9lP9Ja9Oi1mRbg_E/edit#gid=1892753874"",""Rekap KTR!$E$8"")"),29.0)</f>
        <v>29</v>
      </c>
      <c r="F20" s="87">
        <f>IFERROR(__xludf.DUMMYFUNCTION("IMPORTRANGE(""https://docs.google.com/spreadsheets/d/1fXA1yQzUNddp7fjR2KF22o4rRJu9lP9Ja9Oi1mRbg_E/edit#gid=1892753874"",""Rekap KTR!$E$9"")"),19.0)</f>
        <v>19</v>
      </c>
      <c r="G20" s="87">
        <f>IFERROR(__xludf.DUMMYFUNCTION("IMPORTRANGE(""https://docs.google.com/spreadsheets/d/1fXA1yQzUNddp7fjR2KF22o4rRJu9lP9Ja9Oi1mRbg_E/edit#gid=1892753874"",""Rekap KTR!$E$10"")"),1.0)</f>
        <v>1</v>
      </c>
      <c r="H20" s="87">
        <f>IFERROR(__xludf.DUMMYFUNCTION("IMPORTRANGE(""https://docs.google.com/spreadsheets/d/1fXA1yQzUNddp7fjR2KF22o4rRJu9lP9Ja9Oi1mRbg_E/edit#gid=1892753874"",""Rekap KTR!$E$11"")"),1.0)</f>
        <v>1</v>
      </c>
      <c r="I20" s="87">
        <f>IFERROR(__xludf.DUMMYFUNCTION("IMPORTRANGE(""https://docs.google.com/spreadsheets/d/1fXA1yQzUNddp7fjR2KF22o4rRJu9lP9Ja9Oi1mRbg_E/edit#gid=1892753874"",""Rekap KTR!$E$12"")"),1.0)</f>
        <v>1</v>
      </c>
    </row>
    <row r="21" ht="15.75" customHeight="1">
      <c r="B21" s="86" t="str">
        <f>'SPM-Uspro'!$C$25</f>
        <v>#REF!</v>
      </c>
      <c r="C21" s="87">
        <f>IFERROR(__xludf.DUMMYFUNCTION("IMPORTRANGE(""https://docs.google.com/spreadsheets/d/155aL1qCqCleHwMP0Y8LT5akEbK27R0RIka-lAkeoeEo/edit#gid=1892753874"",""Rekap KTR!$E$6"")"),10.0)</f>
        <v>10</v>
      </c>
      <c r="D21" s="87">
        <f>IFERROR(__xludf.DUMMYFUNCTION("IMPORTRANGE(""https://docs.google.com/spreadsheets/d/155aL1qCqCleHwMP0Y8LT5akEbK27R0RIka-lAkeoeEo/edit#gid=1892753874"",""Rekap KTR!$E$7"")"),47.0)</f>
        <v>47</v>
      </c>
      <c r="E21" s="87">
        <f>IFERROR(__xludf.DUMMYFUNCTION("IMPORTRANGE(""https://docs.google.com/spreadsheets/d/155aL1qCqCleHwMP0Y8LT5akEbK27R0RIka-lAkeoeEo/edit#gid=1892753874"",""Rekap KTR!$E$8"")"),5.0)</f>
        <v>5</v>
      </c>
      <c r="F21" s="87" t="str">
        <f>IFERROR(__xludf.DUMMYFUNCTION("IMPORTRANGE(""https://docs.google.com/spreadsheets/d/155aL1qCqCleHwMP0Y8LT5akEbK27R0RIka-lAkeoeEo/edit#gid=1892753874"",""Rekap KTR!$E$9"")"),"")</f>
        <v/>
      </c>
      <c r="G21" s="87" t="str">
        <f>IFERROR(__xludf.DUMMYFUNCTION("IMPORTRANGE(""https://docs.google.com/spreadsheets/d/155aL1qCqCleHwMP0Y8LT5akEbK27R0RIka-lAkeoeEo/edit#gid=1892753874"",""Rekap KTR!$E$10"")"),"")</f>
        <v/>
      </c>
      <c r="H21" s="87" t="str">
        <f>IFERROR(__xludf.DUMMYFUNCTION("IMPORTRANGE(""https://docs.google.com/spreadsheets/d/155aL1qCqCleHwMP0Y8LT5akEbK27R0RIka-lAkeoeEo/edit#gid=1892753874"",""Rekap KTR!$E$11"")"),"")</f>
        <v/>
      </c>
      <c r="I21" s="87" t="str">
        <f>IFERROR(__xludf.DUMMYFUNCTION("IMPORTRANGE(""https://docs.google.com/spreadsheets/d/155aL1qCqCleHwMP0Y8LT5akEbK27R0RIka-lAkeoeEo/edit#gid=1892753874"",""Rekap KTR!$E$12"")"),"")</f>
        <v/>
      </c>
    </row>
    <row r="22" ht="15.75" customHeight="1">
      <c r="B22" s="86" t="str">
        <f>'SPM-Uspro'!$C$26</f>
        <v>#REF!</v>
      </c>
      <c r="C22" s="87">
        <f>IFERROR(__xludf.DUMMYFUNCTION("IMPORTRANGE(""https://docs.google.com/spreadsheets/d/13FRR1udp0c0o6Nmp_8YHiON78PXr-L4FqQQ028JcBYY/edit#gid=1522333227"",""Rekap KTR!$E$6"")"),7.0)</f>
        <v>7</v>
      </c>
      <c r="D22" s="87">
        <f>IFERROR(__xludf.DUMMYFUNCTION("IMPORTRANGE(""https://docs.google.com/spreadsheets/d/13FRR1udp0c0o6Nmp_8YHiON78PXr-L4FqQQ028JcBYY/edit#gid=1522333227"",""Rekap KTR!$E$7"")"),31.0)</f>
        <v>31</v>
      </c>
      <c r="E22" s="87">
        <f>IFERROR(__xludf.DUMMYFUNCTION("IMPORTRANGE(""https://docs.google.com/spreadsheets/d/13FRR1udp0c0o6Nmp_8YHiON78PXr-L4FqQQ028JcBYY/edit#gid=1522333227"",""Rekap KTR!$E$8"")"),2.0)</f>
        <v>2</v>
      </c>
      <c r="F22" s="87" t="str">
        <f>IFERROR(__xludf.DUMMYFUNCTION("IMPORTRANGE(""https://docs.google.com/spreadsheets/d/13FRR1udp0c0o6Nmp_8YHiON78PXr-L4FqQQ028JcBYY/edit#gid=1522333227"",""Rekap KTR!$E$9"")"),"")</f>
        <v/>
      </c>
      <c r="G22" s="87" t="str">
        <f>IFERROR(__xludf.DUMMYFUNCTION("IMPORTRANGE(""https://docs.google.com/spreadsheets/d/13FRR1udp0c0o6Nmp_8YHiON78PXr-L4FqQQ028JcBYY/edit#gid=1522333227"",""Rekap KTR!$E$10"")"),"")</f>
        <v/>
      </c>
      <c r="H22" s="87" t="str">
        <f>IFERROR(__xludf.DUMMYFUNCTION("IMPORTRANGE(""https://docs.google.com/spreadsheets/d/13FRR1udp0c0o6Nmp_8YHiON78PXr-L4FqQQ028JcBYY/edit#gid=1522333227"",""Rekap KTR!$E$11"")"),"")</f>
        <v/>
      </c>
      <c r="I22" s="87" t="str">
        <f>IFERROR(__xludf.DUMMYFUNCTION("IMPORTRANGE(""https://docs.google.com/spreadsheets/d/13FRR1udp0c0o6Nmp_8YHiON78PXr-L4FqQQ028JcBYY/edit#gid=1522333227"",""Rekap KTR!$E$12"")"),"")</f>
        <v/>
      </c>
    </row>
    <row r="23" ht="15.75" customHeight="1">
      <c r="B23" s="86" t="str">
        <f>'SPM-Uspro'!$C$27</f>
        <v>#REF!</v>
      </c>
      <c r="C23" s="87">
        <f>IFERROR(__xludf.DUMMYFUNCTION("IMPORTRANGE(""https://docs.google.com/spreadsheets/d/1PVwe4VvYfj1Vj424c9kO9TcQogsBM6TpXMbFve9togc/edit#gid=1522333227"",""Rekap KTR!$E$6"")"),5.0)</f>
        <v>5</v>
      </c>
      <c r="D23" s="87">
        <f>IFERROR(__xludf.DUMMYFUNCTION("IMPORTRANGE(""https://docs.google.com/spreadsheets/d/1PVwe4VvYfj1Vj424c9kO9TcQogsBM6TpXMbFve9togc/edit#gid=1522333227"",""Rekap KTR!$E$7"")"),38.0)</f>
        <v>38</v>
      </c>
      <c r="E23" s="87">
        <f>IFERROR(__xludf.DUMMYFUNCTION("IMPORTRANGE(""https://docs.google.com/spreadsheets/d/1PVwe4VvYfj1Vj424c9kO9TcQogsBM6TpXMbFve9togc/edit#gid=1522333227"",""Rekap KTR!$E$8"")"),17.0)</f>
        <v>17</v>
      </c>
      <c r="F23" s="87">
        <f>IFERROR(__xludf.DUMMYFUNCTION("IMPORTRANGE(""https://docs.google.com/spreadsheets/d/1PVwe4VvYfj1Vj424c9kO9TcQogsBM6TpXMbFve9togc/edit#gid=1522333227"",""Rekap KTR!$E$9"")"),0.0)</f>
        <v>0</v>
      </c>
      <c r="G23" s="87">
        <f>IFERROR(__xludf.DUMMYFUNCTION("IMPORTRANGE(""https://docs.google.com/spreadsheets/d/1PVwe4VvYfj1Vj424c9kO9TcQogsBM6TpXMbFve9togc/edit#gid=1522333227"",""Rekap KTR!$E$10"")"),0.0)</f>
        <v>0</v>
      </c>
      <c r="H23" s="87">
        <f>IFERROR(__xludf.DUMMYFUNCTION("IMPORTRANGE(""https://docs.google.com/spreadsheets/d/1PVwe4VvYfj1Vj424c9kO9TcQogsBM6TpXMbFve9togc/edit#gid=1522333227"",""Rekap KTR!$E$11"")"),0.0)</f>
        <v>0</v>
      </c>
      <c r="I23" s="87">
        <f>IFERROR(__xludf.DUMMYFUNCTION("IMPORTRANGE(""https://docs.google.com/spreadsheets/d/1PVwe4VvYfj1Vj424c9kO9TcQogsBM6TpXMbFve9togc/edit#gid=1522333227"",""Rekap KTR!$E$12"")"),0.0)</f>
        <v>0</v>
      </c>
    </row>
    <row r="24" ht="15.75" customHeight="1">
      <c r="B24" s="86" t="str">
        <f>'SPM-Uspro'!$C$28</f>
        <v>#REF!</v>
      </c>
      <c r="C24" s="87" t="str">
        <f>IFERROR(__xludf.DUMMYFUNCTION("IMPORTRANGE(""https://docs.google.com/spreadsheets/d/15JUTNcWxWGx3Ha8qvwbxgnbDbT4v7N3vZYvqPZ68_Xg/edit#gid=1892753874"",""Rekap KTR!$E$6"")"),"")</f>
        <v/>
      </c>
      <c r="D24" s="87">
        <f>IFERROR(__xludf.DUMMYFUNCTION("IMPORTRANGE(""https://docs.google.com/spreadsheets/d/15JUTNcWxWGx3Ha8qvwbxgnbDbT4v7N3vZYvqPZ68_Xg/edit#gid=1892753874"",""Rekap KTR!$E$7"")"),19.0)</f>
        <v>19</v>
      </c>
      <c r="E24" s="87" t="str">
        <f>IFERROR(__xludf.DUMMYFUNCTION("IMPORTRANGE(""https://docs.google.com/spreadsheets/d/15JUTNcWxWGx3Ha8qvwbxgnbDbT4v7N3vZYvqPZ68_Xg/edit#gid=1892753874"",""Rekap KTR!$E$8"")"),"")</f>
        <v/>
      </c>
      <c r="F24" s="87" t="str">
        <f>IFERROR(__xludf.DUMMYFUNCTION("IMPORTRANGE(""https://docs.google.com/spreadsheets/d/15JUTNcWxWGx3Ha8qvwbxgnbDbT4v7N3vZYvqPZ68_Xg/edit#gid=1892753874"",""Rekap KTR!$E$9"")"),"")</f>
        <v/>
      </c>
      <c r="G24" s="87" t="str">
        <f>IFERROR(__xludf.DUMMYFUNCTION("IMPORTRANGE(""https://docs.google.com/spreadsheets/d/15JUTNcWxWGx3Ha8qvwbxgnbDbT4v7N3vZYvqPZ68_Xg/edit#gid=1892753874"",""Rekap KTR!$E$10"")"),"")</f>
        <v/>
      </c>
      <c r="H24" s="87" t="str">
        <f>IFERROR(__xludf.DUMMYFUNCTION("IMPORTRANGE(""https://docs.google.com/spreadsheets/d/15JUTNcWxWGx3Ha8qvwbxgnbDbT4v7N3vZYvqPZ68_Xg/edit#gid=1892753874"",""Rekap KTR!$E$11"")"),"")</f>
        <v/>
      </c>
      <c r="I24" s="87" t="str">
        <f>IFERROR(__xludf.DUMMYFUNCTION("IMPORTRANGE(""https://docs.google.com/spreadsheets/d/15JUTNcWxWGx3Ha8qvwbxgnbDbT4v7N3vZYvqPZ68_Xg/edit#gid=1892753874"",""Rekap KTR!$E$12"")"),"")</f>
        <v/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3"/>
    <mergeCell ref="A4:B4"/>
    <mergeCell ref="B6:B8"/>
    <mergeCell ref="C6:I6"/>
  </mergeCells>
  <hyperlinks>
    <hyperlink display="              Kembali ke _x000a_              Pilihan Program" location="null!A1" ref="A1"/>
    <hyperlink r:id="rId1" ref="A4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1.22" defaultRowHeight="15.0"/>
  <cols>
    <col customWidth="1" min="1" max="1" width="16.67"/>
    <col customWidth="1" min="2" max="2" width="11.22"/>
    <col customWidth="1" min="3" max="3" width="11.78"/>
    <col customWidth="1" min="4" max="5" width="11.22"/>
    <col customWidth="1" min="6" max="6" width="12.33"/>
    <col customWidth="1" min="8" max="8" width="13.89"/>
    <col customWidth="1" min="9" max="9" width="13.56"/>
  </cols>
  <sheetData>
    <row r="1">
      <c r="A1" s="70" t="s">
        <v>27</v>
      </c>
      <c r="B1" s="2"/>
      <c r="C1" s="2"/>
      <c r="D1" s="88" t="s">
        <v>40</v>
      </c>
      <c r="E1" s="2"/>
      <c r="F1" s="2"/>
      <c r="G1" s="2"/>
      <c r="H1" s="2"/>
      <c r="I1" s="2"/>
      <c r="J1" s="2"/>
      <c r="K1" s="71"/>
      <c r="L1" s="72"/>
      <c r="M1" s="72"/>
      <c r="N1" s="72"/>
      <c r="O1" s="72"/>
      <c r="P1" s="72"/>
    </row>
    <row r="2">
      <c r="A2" s="8"/>
      <c r="D2" s="8"/>
      <c r="K2" s="71"/>
      <c r="L2" s="72"/>
      <c r="M2" s="72"/>
      <c r="N2" s="72"/>
      <c r="O2" s="72"/>
      <c r="P2" s="72"/>
    </row>
    <row r="3">
      <c r="A3" s="8"/>
      <c r="D3" s="8"/>
      <c r="K3" s="71"/>
      <c r="L3" s="72"/>
      <c r="M3" s="72"/>
      <c r="N3" s="72"/>
      <c r="O3" s="72"/>
      <c r="P3" s="72"/>
    </row>
    <row r="4" ht="24.75" customHeight="1">
      <c r="A4" s="74" t="s">
        <v>30</v>
      </c>
      <c r="B4" s="10"/>
      <c r="C4" s="10"/>
      <c r="D4" s="8"/>
      <c r="K4" s="71"/>
      <c r="L4" s="72"/>
      <c r="M4" s="72"/>
      <c r="N4" s="72"/>
      <c r="O4" s="72"/>
      <c r="P4" s="72"/>
    </row>
    <row r="6" ht="22.5" customHeight="1">
      <c r="A6" s="89" t="s">
        <v>41</v>
      </c>
      <c r="B6" s="78"/>
      <c r="C6" s="78"/>
      <c r="D6" s="78"/>
      <c r="E6" s="78"/>
      <c r="F6" s="78"/>
      <c r="G6" s="78"/>
      <c r="H6" s="78"/>
      <c r="I6" s="78"/>
      <c r="J6" s="79"/>
      <c r="K6" s="90"/>
      <c r="L6" s="90"/>
      <c r="M6" s="90"/>
      <c r="N6" s="90"/>
      <c r="O6" s="90"/>
      <c r="P6" s="90"/>
    </row>
    <row r="7">
      <c r="A7" s="91" t="s">
        <v>31</v>
      </c>
      <c r="B7" s="91" t="s">
        <v>42</v>
      </c>
      <c r="C7" s="91" t="s">
        <v>43</v>
      </c>
      <c r="D7" s="91" t="s">
        <v>44</v>
      </c>
      <c r="E7" s="92" t="s">
        <v>45</v>
      </c>
      <c r="F7" s="92" t="s">
        <v>46</v>
      </c>
      <c r="G7" s="92" t="s">
        <v>47</v>
      </c>
      <c r="H7" s="93" t="s">
        <v>48</v>
      </c>
      <c r="I7" s="93" t="s">
        <v>49</v>
      </c>
      <c r="J7" s="93" t="s">
        <v>50</v>
      </c>
    </row>
    <row r="8" ht="15.0" customHeight="1">
      <c r="A8" s="81"/>
      <c r="B8" s="81"/>
      <c r="C8" s="81"/>
      <c r="D8" s="81"/>
      <c r="E8" s="81"/>
      <c r="F8" s="81"/>
      <c r="G8" s="81"/>
      <c r="H8" s="81"/>
      <c r="I8" s="81"/>
      <c r="J8" s="81"/>
    </row>
    <row r="9">
      <c r="A9" s="83"/>
      <c r="B9" s="83"/>
      <c r="C9" s="83"/>
      <c r="D9" s="83"/>
      <c r="E9" s="83"/>
      <c r="F9" s="83"/>
      <c r="G9" s="83"/>
      <c r="H9" s="83"/>
      <c r="I9" s="83"/>
      <c r="J9" s="83"/>
    </row>
    <row r="10">
      <c r="A10" s="86" t="str">
        <f>'SPM-Uspro'!$C$13</f>
        <v>#REF!</v>
      </c>
      <c r="B10" s="87">
        <f>IFERROR(__xludf.DUMMYFUNCTION("IMPORTRANGE(""https://docs.google.com/spreadsheets/d/1P0UTisakTE5EAx-MYEjY2DmhSnLNqqRm6P3NrlYXL2I/edit#gid=1892753874"",""Rekap UBM!$B$9"")"),1.0)</f>
        <v>1</v>
      </c>
      <c r="C10" s="87">
        <f>IFERROR(__xludf.DUMMYFUNCTION("IMPORTRANGE(""https://docs.google.com/spreadsheets/d/1P0UTisakTE5EAx-MYEjY2DmhSnLNqqRm6P3NrlYXL2I/edit#gid=1892753874"",""Rekap UBM!$C$9"")"),1.0)</f>
        <v>1</v>
      </c>
      <c r="D10" s="94">
        <f t="shared" ref="D10:D25" si="1">C10/B10*100</f>
        <v>100</v>
      </c>
      <c r="E10" s="87" t="str">
        <f>IFERROR(__xludf.DUMMYFUNCTION("IMPORTRANGE(""https://docs.google.com/spreadsheets/d/1P0UTisakTE5EAx-MYEjY2DmhSnLNqqRm6P3NrlYXL2I/edit#gid=1892753874"",""Rekap UBM!$E$9"")"),"")</f>
        <v/>
      </c>
      <c r="F10" s="87" t="str">
        <f>IFERROR(__xludf.DUMMYFUNCTION("IMPORTRANGE(""https://docs.google.com/spreadsheets/d/1P0UTisakTE5EAx-MYEjY2DmhSnLNqqRm6P3NrlYXL2I/edit#gid=1892753874"",""Rekap UBM!$F$9"")"),"")</f>
        <v/>
      </c>
      <c r="G10" s="94" t="str">
        <f t="shared" ref="G10:G25" si="2">F10/E10*100</f>
        <v>#DIV/0!</v>
      </c>
      <c r="H10" s="87" t="str">
        <f>IFERROR(__xludf.DUMMYFUNCTION("IMPORTRANGE(""https://docs.google.com/spreadsheets/d/1P0UTisakTE5EAx-MYEjY2DmhSnLNqqRm6P3NrlYXL2I/edit#gid=1892753874"",""Rekap UBM!$H$9"")"),"")</f>
        <v/>
      </c>
      <c r="I10" s="87" t="str">
        <f>IFERROR(__xludf.DUMMYFUNCTION("IMPORTRANGE(""https://docs.google.com/spreadsheets/d/1P0UTisakTE5EAx-MYEjY2DmhSnLNqqRm6P3NrlYXL2I/edit#gid=1892753874"",""Rekap UBM!$I$9"")"),"")</f>
        <v/>
      </c>
      <c r="J10" s="94" t="str">
        <f t="shared" ref="J10:J25" si="3">I10/H10*100</f>
        <v>#DIV/0!</v>
      </c>
    </row>
    <row r="11">
      <c r="A11" s="86" t="str">
        <f>'SPM-Uspro'!$C$14</f>
        <v>#REF!</v>
      </c>
      <c r="B11" s="87">
        <f>IFERROR(__xludf.DUMMYFUNCTION("IMPORTRANGE(""https://docs.google.com/spreadsheets/d/1jB-UnyPBzGq1HOZkIVtft_Wo28OEKcZNsVgS5r_boTE/edit#gid=1522333227"",""Rekap UBM!$B$9"")"),1.0)</f>
        <v>1</v>
      </c>
      <c r="C11" s="87">
        <f>IFERROR(__xludf.DUMMYFUNCTION("IMPORTRANGE(""https://docs.google.com/spreadsheets/d/1jB-UnyPBzGq1HOZkIVtft_Wo28OEKcZNsVgS5r_boTE/edit#gid=1522333227"",""Rekap UBM!$C$9"")"),1.0)</f>
        <v>1</v>
      </c>
      <c r="D11" s="94">
        <f t="shared" si="1"/>
        <v>100</v>
      </c>
      <c r="E11" s="87">
        <f>IFERROR(__xludf.DUMMYFUNCTION("IMPORTRANGE(""https://docs.google.com/spreadsheets/d/1jB-UnyPBzGq1HOZkIVtft_Wo28OEKcZNsVgS5r_boTE/edit#gid=1522333227"",""Rekap UBM!$E$9"")"),12.0)</f>
        <v>12</v>
      </c>
      <c r="F11" s="95">
        <f>IFERROR(__xludf.DUMMYFUNCTION("IMPORTRANGE(""https://docs.google.com/spreadsheets/d/1jB-UnyPBzGq1HOZkIVtft_Wo28OEKcZNsVgS5r_boTE/edit#gid=1522333227"",""Rekap UBM!$F$9"")"),12.0)</f>
        <v>12</v>
      </c>
      <c r="G11" s="94">
        <f t="shared" si="2"/>
        <v>100</v>
      </c>
      <c r="H11" s="95" t="str">
        <f>IFERROR(__xludf.DUMMYFUNCTION("IMPORTRANGE(""https://docs.google.com/spreadsheets/d/1jB-UnyPBzGq1HOZkIVtft_Wo28OEKcZNsVgS5r_boTE/edit#gid=1522333227"",""Rekap UBM!$H$9"")"),"")</f>
        <v/>
      </c>
      <c r="I11" s="95" t="str">
        <f>IFERROR(__xludf.DUMMYFUNCTION("IMPORTRANGE(""https://docs.google.com/spreadsheets/d/1jB-UnyPBzGq1HOZkIVtft_Wo28OEKcZNsVgS5r_boTE/edit#gid=1522333227"",""Rekap UBM!$I$9"")"),"")</f>
        <v/>
      </c>
      <c r="J11" s="94" t="str">
        <f t="shared" si="3"/>
        <v>#DIV/0!</v>
      </c>
    </row>
    <row r="12">
      <c r="A12" s="86" t="str">
        <f>'SPM-Uspro'!$C$15</f>
        <v>#REF!</v>
      </c>
      <c r="B12" s="87">
        <f>IFERROR(__xludf.DUMMYFUNCTION("IMPORTRANGE(""https://docs.google.com/spreadsheets/d/1gHFrRpJ5fnyxfJI-jxT5z1B1L7rSV8E5sIZEN90Rfhc/edit#gid=1522333227"",""Rekap UBM!$B$9"")"),1.0)</f>
        <v>1</v>
      </c>
      <c r="C12" s="87">
        <f>IFERROR(__xludf.DUMMYFUNCTION("IMPORTRANGE(""https://docs.google.com/spreadsheets/d/1gHFrRpJ5fnyxfJI-jxT5z1B1L7rSV8E5sIZEN90Rfhc/edit#gid=1522333227"",""Rekap UBM!$C$9"")"),1.0)</f>
        <v>1</v>
      </c>
      <c r="D12" s="94">
        <f t="shared" si="1"/>
        <v>100</v>
      </c>
      <c r="E12" s="87">
        <f>IFERROR(__xludf.DUMMYFUNCTION("IMPORTRANGE(""https://docs.google.com/spreadsheets/d/1gHFrRpJ5fnyxfJI-jxT5z1B1L7rSV8E5sIZEN90Rfhc/edit#gid=1522333227"",""Rekap UBM!$E$9"")"),3.0)</f>
        <v>3</v>
      </c>
      <c r="F12" s="95">
        <f>IFERROR(__xludf.DUMMYFUNCTION("IMPORTRANGE(""https://docs.google.com/spreadsheets/d/1gHFrRpJ5fnyxfJI-jxT5z1B1L7rSV8E5sIZEN90Rfhc/edit#gid=1522333227"",""Rekap UBM!$F$9"")"),3.0)</f>
        <v>3</v>
      </c>
      <c r="G12" s="94">
        <f t="shared" si="2"/>
        <v>100</v>
      </c>
      <c r="H12" s="95">
        <f>IFERROR(__xludf.DUMMYFUNCTION("IMPORTRANGE(""https://docs.google.com/spreadsheets/d/1gHFrRpJ5fnyxfJI-jxT5z1B1L7rSV8E5sIZEN90Rfhc/edit#gid=1522333227"",""Rekap UBM!$H$9"")"),6.0)</f>
        <v>6</v>
      </c>
      <c r="I12" s="95">
        <f>IFERROR(__xludf.DUMMYFUNCTION("IMPORTRANGE(""https://docs.google.com/spreadsheets/d/1gHFrRpJ5fnyxfJI-jxT5z1B1L7rSV8E5sIZEN90Rfhc/edit#gid=1522333227"",""Rekap UBM!$I$9"")"),6.0)</f>
        <v>6</v>
      </c>
      <c r="J12" s="94">
        <f t="shared" si="3"/>
        <v>100</v>
      </c>
    </row>
    <row r="13">
      <c r="A13" s="86" t="str">
        <f>'SPM-Uspro'!$C$16</f>
        <v>#REF!</v>
      </c>
      <c r="B13" s="87">
        <f>IFERROR(__xludf.DUMMYFUNCTION("IMPORTRANGE(""https://docs.google.com/spreadsheets/d/1saC2UP2JuYJ7WRPxjh8EMf_BSfGZ18Ous8sVKGLr-Ng/edit#gid=1892753874"",""Rekap UBM!$B$9"")"),1.0)</f>
        <v>1</v>
      </c>
      <c r="C13" s="87">
        <f>IFERROR(__xludf.DUMMYFUNCTION("IMPORTRANGE(""https://docs.google.com/spreadsheets/d/1saC2UP2JuYJ7WRPxjh8EMf_BSfGZ18Ous8sVKGLr-Ng/edit#gid=1892753874"",""Rekap UBM!$C$9"")"),1.0)</f>
        <v>1</v>
      </c>
      <c r="D13" s="94">
        <f t="shared" si="1"/>
        <v>100</v>
      </c>
      <c r="E13" s="87">
        <f>IFERROR(__xludf.DUMMYFUNCTION("IMPORTRANGE(""https://docs.google.com/spreadsheets/d/1saC2UP2JuYJ7WRPxjh8EMf_BSfGZ18Ous8sVKGLr-Ng/edit#gid=1892753874"",""Rekap UBM!$E$9"")"),3.0)</f>
        <v>3</v>
      </c>
      <c r="F13" s="95">
        <f>IFERROR(__xludf.DUMMYFUNCTION("IMPORTRANGE(""https://docs.google.com/spreadsheets/d/1saC2UP2JuYJ7WRPxjh8EMf_BSfGZ18Ous8sVKGLr-Ng/edit#gid=1892753874"",""Rekap UBM!$F$9"")"),0.0)</f>
        <v>0</v>
      </c>
      <c r="G13" s="94">
        <f t="shared" si="2"/>
        <v>0</v>
      </c>
      <c r="H13" s="95">
        <f>IFERROR(__xludf.DUMMYFUNCTION("IMPORTRANGE(""https://docs.google.com/spreadsheets/d/1saC2UP2JuYJ7WRPxjh8EMf_BSfGZ18Ous8sVKGLr-Ng/edit#gid=1892753874"",""Rekap UBM!$H$9"")"),5.0)</f>
        <v>5</v>
      </c>
      <c r="I13" s="95">
        <f>IFERROR(__xludf.DUMMYFUNCTION("IMPORTRANGE(""https://docs.google.com/spreadsheets/d/1saC2UP2JuYJ7WRPxjh8EMf_BSfGZ18Ous8sVKGLr-Ng/edit#gid=1892753874"",""Rekap UBM!$I$9"")"),0.0)</f>
        <v>0</v>
      </c>
      <c r="J13" s="94">
        <f t="shared" si="3"/>
        <v>0</v>
      </c>
    </row>
    <row r="14">
      <c r="A14" s="86" t="str">
        <f>'SPM-Uspro'!$C$17</f>
        <v>#REF!</v>
      </c>
      <c r="B14" s="87">
        <f>IFERROR(__xludf.DUMMYFUNCTION("IMPORTRANGE(""https://docs.google.com/spreadsheets/d/1ApPPV7RPuDI1EDOKjkoDXkV5Yd_NofeQTYTtAHUYGGw/edit#gid=1522333227"",""Rekap UBM!$B$9"")"),1.0)</f>
        <v>1</v>
      </c>
      <c r="C14" s="87">
        <f>IFERROR(__xludf.DUMMYFUNCTION("IMPORTRANGE(""https://docs.google.com/spreadsheets/d/1ApPPV7RPuDI1EDOKjkoDXkV5Yd_NofeQTYTtAHUYGGw/edit#gid=1522333227"",""Rekap UBM!$C$9"")"),1.0)</f>
        <v>1</v>
      </c>
      <c r="D14" s="94">
        <f t="shared" si="1"/>
        <v>100</v>
      </c>
      <c r="E14" s="87" t="str">
        <f>IFERROR(__xludf.DUMMYFUNCTION("IMPORTRANGE(""https://docs.google.com/spreadsheets/d/1ApPPV7RPuDI1EDOKjkoDXkV5Yd_NofeQTYTtAHUYGGw/edit#gid=1522333227"",""Rekap UBM!$E$9"")"),"")</f>
        <v/>
      </c>
      <c r="F14" s="95" t="str">
        <f>IFERROR(__xludf.DUMMYFUNCTION("IMPORTRANGE(""https://docs.google.com/spreadsheets/d/1ApPPV7RPuDI1EDOKjkoDXkV5Yd_NofeQTYTtAHUYGGw/edit#gid=1522333227"",""Rekap UBM!$F$9"")"),"")</f>
        <v/>
      </c>
      <c r="G14" s="94" t="str">
        <f t="shared" si="2"/>
        <v>#DIV/0!</v>
      </c>
      <c r="H14" s="95" t="str">
        <f>IFERROR(__xludf.DUMMYFUNCTION("IMPORTRANGE(""https://docs.google.com/spreadsheets/d/1ApPPV7RPuDI1EDOKjkoDXkV5Yd_NofeQTYTtAHUYGGw/edit#gid=1522333227"",""Rekap UBM!$H$9"")"),"")</f>
        <v/>
      </c>
      <c r="I14" s="95" t="str">
        <f>IFERROR(__xludf.DUMMYFUNCTION("IMPORTRANGE(""https://docs.google.com/spreadsheets/d/1ApPPV7RPuDI1EDOKjkoDXkV5Yd_NofeQTYTtAHUYGGw/edit#gid=1522333227"",""Rekap UBM!$I$9"")"),"")</f>
        <v/>
      </c>
      <c r="J14" s="94" t="str">
        <f t="shared" si="3"/>
        <v>#DIV/0!</v>
      </c>
    </row>
    <row r="15">
      <c r="A15" s="86" t="str">
        <f>'SPM-Uspro'!$C$18</f>
        <v>#REF!</v>
      </c>
      <c r="B15" s="87">
        <f>IFERROR(__xludf.DUMMYFUNCTION("IMPORTRANGE(""https://docs.google.com/spreadsheets/d/1iV_nqIfkAdyO_vl_QARxWbfnGcK2KlCCS94aVJ2QbTI/edit#gid=1522333227"",""Rekap UBM!$B$9"")"),1.0)</f>
        <v>1</v>
      </c>
      <c r="C15" s="87">
        <f>IFERROR(__xludf.DUMMYFUNCTION("IMPORTRANGE(""https://docs.google.com/spreadsheets/d/1iV_nqIfkAdyO_vl_QARxWbfnGcK2KlCCS94aVJ2QbTI/edit#gid=1522333227"",""Rekap UBM!$C$9"")"),1.0)</f>
        <v>1</v>
      </c>
      <c r="D15" s="94">
        <f t="shared" si="1"/>
        <v>100</v>
      </c>
      <c r="E15" s="87" t="str">
        <f>IFERROR(__xludf.DUMMYFUNCTION("IMPORTRANGE(""https://docs.google.com/spreadsheets/d/1iV_nqIfkAdyO_vl_QARxWbfnGcK2KlCCS94aVJ2QbTI/edit#gid=1522333227"",""Rekap UBM!$E$9"")"),"")</f>
        <v/>
      </c>
      <c r="F15" s="95" t="str">
        <f>IFERROR(__xludf.DUMMYFUNCTION("IMPORTRANGE(""https://docs.google.com/spreadsheets/d/1iV_nqIfkAdyO_vl_QARxWbfnGcK2KlCCS94aVJ2QbTI/edit#gid=1522333227"",""Rekap UBM!$F$9"")"),"")</f>
        <v/>
      </c>
      <c r="G15" s="94" t="str">
        <f t="shared" si="2"/>
        <v>#DIV/0!</v>
      </c>
      <c r="H15" s="95" t="str">
        <f>IFERROR(__xludf.DUMMYFUNCTION("IMPORTRANGE(""https://docs.google.com/spreadsheets/d/1iV_nqIfkAdyO_vl_QARxWbfnGcK2KlCCS94aVJ2QbTI/edit#gid=1522333227"",""Rekap UBM!$H$9"")"),"")</f>
        <v/>
      </c>
      <c r="I15" s="95" t="str">
        <f>IFERROR(__xludf.DUMMYFUNCTION("IMPORTRANGE(""https://docs.google.com/spreadsheets/d/1iV_nqIfkAdyO_vl_QARxWbfnGcK2KlCCS94aVJ2QbTI/edit#gid=1522333227"",""Rekap UBM!$I$9"")"),"")</f>
        <v/>
      </c>
      <c r="J15" s="94" t="str">
        <f t="shared" si="3"/>
        <v>#DIV/0!</v>
      </c>
    </row>
    <row r="16">
      <c r="A16" s="86" t="str">
        <f>'SPM-Uspro'!$C$19</f>
        <v>#REF!</v>
      </c>
      <c r="B16" s="87">
        <f>IFERROR(__xludf.DUMMYFUNCTION("IMPORTRANGE(""https://docs.google.com/spreadsheets/d/1zz70Lj6oBg1MOPSG6KJcsMeqBNtXMHYICRkg7kpt_d0/edit#gid=1892753874"",""Rekap UBM!$B$9"")"),1.0)</f>
        <v>1</v>
      </c>
      <c r="C16" s="87">
        <f>IFERROR(__xludf.DUMMYFUNCTION("IMPORTRANGE(""https://docs.google.com/spreadsheets/d/1zz70Lj6oBg1MOPSG6KJcsMeqBNtXMHYICRkg7kpt_d0/edit#gid=1892753874"",""Rekap UBM!$C$9"")"),1.0)</f>
        <v>1</v>
      </c>
      <c r="D16" s="94">
        <f t="shared" si="1"/>
        <v>100</v>
      </c>
      <c r="E16" s="87">
        <f>IFERROR(__xludf.DUMMYFUNCTION("IMPORTRANGE(""https://docs.google.com/spreadsheets/d/1zz70Lj6oBg1MOPSG6KJcsMeqBNtXMHYICRkg7kpt_d0/edit#gid=1892753874"",""Rekap UBM!$E$9"")"),3.0)</f>
        <v>3</v>
      </c>
      <c r="F16" s="95">
        <f>IFERROR(__xludf.DUMMYFUNCTION("IMPORTRANGE(""https://docs.google.com/spreadsheets/d/1zz70Lj6oBg1MOPSG6KJcsMeqBNtXMHYICRkg7kpt_d0/edit#gid=1892753874"",""Rekap UBM!$F$9"")"),3.0)</f>
        <v>3</v>
      </c>
      <c r="G16" s="94">
        <f t="shared" si="2"/>
        <v>100</v>
      </c>
      <c r="H16" s="95">
        <f>IFERROR(__xludf.DUMMYFUNCTION("IMPORTRANGE(""https://docs.google.com/spreadsheets/d/1zz70Lj6oBg1MOPSG6KJcsMeqBNtXMHYICRkg7kpt_d0/edit#gid=1892753874"",""Rekap UBM!$H$9"")"),3.0)</f>
        <v>3</v>
      </c>
      <c r="I16" s="95">
        <f>IFERROR(__xludf.DUMMYFUNCTION("IMPORTRANGE(""https://docs.google.com/spreadsheets/d/1zz70Lj6oBg1MOPSG6KJcsMeqBNtXMHYICRkg7kpt_d0/edit#gid=1892753874"",""Rekap UBM!$I$9"")"),3.0)</f>
        <v>3</v>
      </c>
      <c r="J16" s="94">
        <f t="shared" si="3"/>
        <v>100</v>
      </c>
    </row>
    <row r="17">
      <c r="A17" s="86" t="str">
        <f>'SPM-Uspro'!$C$20</f>
        <v>#REF!</v>
      </c>
      <c r="B17" s="87">
        <f>IFERROR(__xludf.DUMMYFUNCTION("IMPORTRANGE(""https://docs.google.com/spreadsheets/d/1773f1iHRnXhbrVjAHR7zUpu3neZdvtp1a2ikB9LJu8U/edit#gid=1522333227"",""Rekap UBM!$B$9"")"),1.0)</f>
        <v>1</v>
      </c>
      <c r="C17" s="87">
        <f>IFERROR(__xludf.DUMMYFUNCTION("IMPORTRANGE(""https://docs.google.com/spreadsheets/d/1773f1iHRnXhbrVjAHR7zUpu3neZdvtp1a2ikB9LJu8U/edit#gid=1522333227"",""Rekap UBM!$C$9"")"),1.0)</f>
        <v>1</v>
      </c>
      <c r="D17" s="94">
        <f t="shared" si="1"/>
        <v>100</v>
      </c>
      <c r="E17" s="87">
        <f>IFERROR(__xludf.DUMMYFUNCTION("IMPORTRANGE(""https://docs.google.com/spreadsheets/d/1773f1iHRnXhbrVjAHR7zUpu3neZdvtp1a2ikB9LJu8U/edit#gid=1522333227"",""Rekap UBM!$E$9"")"),13.0)</f>
        <v>13</v>
      </c>
      <c r="F17" s="95">
        <f>IFERROR(__xludf.DUMMYFUNCTION("IMPORTRANGE(""https://docs.google.com/spreadsheets/d/1773f1iHRnXhbrVjAHR7zUpu3neZdvtp1a2ikB9LJu8U/edit#gid=1522333227"",""Rekap UBM!$F$9"")"),13.0)</f>
        <v>13</v>
      </c>
      <c r="G17" s="94">
        <f t="shared" si="2"/>
        <v>100</v>
      </c>
      <c r="H17" s="95">
        <f>IFERROR(__xludf.DUMMYFUNCTION("IMPORTRANGE(""https://docs.google.com/spreadsheets/d/1773f1iHRnXhbrVjAHR7zUpu3neZdvtp1a2ikB9LJu8U/edit#gid=1522333227"",""Rekap UBM!$H$9"")"),1.0)</f>
        <v>1</v>
      </c>
      <c r="I17" s="95">
        <f>IFERROR(__xludf.DUMMYFUNCTION("IMPORTRANGE(""https://docs.google.com/spreadsheets/d/1773f1iHRnXhbrVjAHR7zUpu3neZdvtp1a2ikB9LJu8U/edit#gid=1522333227"",""Rekap UBM!$I$9"")"),1.0)</f>
        <v>1</v>
      </c>
      <c r="J17" s="94">
        <f t="shared" si="3"/>
        <v>100</v>
      </c>
    </row>
    <row r="18">
      <c r="A18" s="86" t="str">
        <f>'SPM-Uspro'!$C$21</f>
        <v>#REF!</v>
      </c>
      <c r="B18" s="87">
        <f>IFERROR(__xludf.DUMMYFUNCTION("IMPORTRANGE(""https://docs.google.com/spreadsheets/d/10iNzN1LqaStEosZKEbqcoOm3IdodNsG31q_nR0Y6WGo/edit#gid=1522333227"",""Rekap UBM!$B$9"")"),1.0)</f>
        <v>1</v>
      </c>
      <c r="C18" s="87">
        <f>IFERROR(__xludf.DUMMYFUNCTION("IMPORTRANGE(""https://docs.google.com/spreadsheets/d/10iNzN1LqaStEosZKEbqcoOm3IdodNsG31q_nR0Y6WGo/edit#gid=1522333227"",""Rekap UBM!$C$9"")"),1.0)</f>
        <v>1</v>
      </c>
      <c r="D18" s="94">
        <f t="shared" si="1"/>
        <v>100</v>
      </c>
      <c r="E18" s="87" t="str">
        <f>IFERROR(__xludf.DUMMYFUNCTION("IMPORTRANGE(""https://docs.google.com/spreadsheets/d/10iNzN1LqaStEosZKEbqcoOm3IdodNsG31q_nR0Y6WGo/edit#gid=1522333227"",""Rekap UBM!$E$9"")"),"")</f>
        <v/>
      </c>
      <c r="F18" s="95" t="str">
        <f>IFERROR(__xludf.DUMMYFUNCTION("IMPORTRANGE(""https://docs.google.com/spreadsheets/d/10iNzN1LqaStEosZKEbqcoOm3IdodNsG31q_nR0Y6WGo/edit#gid=1522333227"",""Rekap UBM!$F$9"")"),"")</f>
        <v/>
      </c>
      <c r="G18" s="94" t="str">
        <f t="shared" si="2"/>
        <v>#DIV/0!</v>
      </c>
      <c r="H18" s="95" t="str">
        <f>IFERROR(__xludf.DUMMYFUNCTION("IMPORTRANGE(""https://docs.google.com/spreadsheets/d/10iNzN1LqaStEosZKEbqcoOm3IdodNsG31q_nR0Y6WGo/edit#gid=1522333227"",""Rekap UBM!$H$9"")"),"")</f>
        <v/>
      </c>
      <c r="I18" s="95" t="str">
        <f>IFERROR(__xludf.DUMMYFUNCTION("IMPORTRANGE(""https://docs.google.com/spreadsheets/d/10iNzN1LqaStEosZKEbqcoOm3IdodNsG31q_nR0Y6WGo/edit#gid=1522333227"",""Rekap UBM!$I$9"")"),"")</f>
        <v/>
      </c>
      <c r="J18" s="94" t="str">
        <f t="shared" si="3"/>
        <v>#DIV/0!</v>
      </c>
    </row>
    <row r="19">
      <c r="A19" s="86" t="str">
        <f>'SPM-Uspro'!$C$22</f>
        <v>#REF!</v>
      </c>
      <c r="B19" s="87">
        <f>IFERROR(__xludf.DUMMYFUNCTION("IMPORTRANGE(""https://docs.google.com/spreadsheets/d/17PsIU8VcCQeO2M4DM42K9vv32GkafaaF1LxQevQ8tAQ/edit#gid=1892753874"",""Rekap UBM!$B$9"")"),1.0)</f>
        <v>1</v>
      </c>
      <c r="C19" s="87">
        <f>IFERROR(__xludf.DUMMYFUNCTION("IMPORTRANGE(""https://docs.google.com/spreadsheets/d/17PsIU8VcCQeO2M4DM42K9vv32GkafaaF1LxQevQ8tAQ/edit#gid=1892753874"",""Rekap UBM!$C$9"")"),0.0)</f>
        <v>0</v>
      </c>
      <c r="D19" s="94">
        <f t="shared" si="1"/>
        <v>0</v>
      </c>
      <c r="E19" s="87" t="str">
        <f>IFERROR(__xludf.DUMMYFUNCTION("IMPORTRANGE(""https://docs.google.com/spreadsheets/d/17PsIU8VcCQeO2M4DM42K9vv32GkafaaF1LxQevQ8tAQ/edit#gid=1892753874"",""Rekap UBM!$E$9"")"),"")</f>
        <v/>
      </c>
      <c r="F19" s="95" t="str">
        <f>IFERROR(__xludf.DUMMYFUNCTION("IMPORTRANGE(""https://docs.google.com/spreadsheets/d/17PsIU8VcCQeO2M4DM42K9vv32GkafaaF1LxQevQ8tAQ/edit#gid=1892753874"",""Rekap UBM!$F$9"")"),"")</f>
        <v/>
      </c>
      <c r="G19" s="94" t="str">
        <f t="shared" si="2"/>
        <v>#DIV/0!</v>
      </c>
      <c r="H19" s="95" t="str">
        <f>IFERROR(__xludf.DUMMYFUNCTION("IMPORTRANGE(""https://docs.google.com/spreadsheets/d/17PsIU8VcCQeO2M4DM42K9vv32GkafaaF1LxQevQ8tAQ/edit#gid=1892753874"",""Rekap UBM!$H$9"")"),"")</f>
        <v/>
      </c>
      <c r="I19" s="95" t="str">
        <f>IFERROR(__xludf.DUMMYFUNCTION("IMPORTRANGE(""https://docs.google.com/spreadsheets/d/17PsIU8VcCQeO2M4DM42K9vv32GkafaaF1LxQevQ8tAQ/edit#gid=1892753874"",""Rekap UBM!$I$9"")"),"")</f>
        <v/>
      </c>
      <c r="J19" s="94" t="str">
        <f t="shared" si="3"/>
        <v>#DIV/0!</v>
      </c>
    </row>
    <row r="20">
      <c r="A20" s="86" t="str">
        <f>'SPM-Uspro'!$C$23</f>
        <v>#REF!</v>
      </c>
      <c r="B20" s="87">
        <f>IFERROR(__xludf.DUMMYFUNCTION("IMPORTRANGE(""https://docs.google.com/spreadsheets/d/1d0Y9C6M4-a1TT0nIK2Gc4IXnbVyxoBB3v7o1biNGAwY/edit#gid=1892753874"",""Rekap UBM!$B$9"")"),1.0)</f>
        <v>1</v>
      </c>
      <c r="C20" s="87">
        <f>IFERROR(__xludf.DUMMYFUNCTION("IMPORTRANGE(""https://docs.google.com/spreadsheets/d/1d0Y9C6M4-a1TT0nIK2Gc4IXnbVyxoBB3v7o1biNGAwY/edit#gid=1892753874"",""Rekap UBM!$C$9"")"),1.0)</f>
        <v>1</v>
      </c>
      <c r="D20" s="94">
        <f t="shared" si="1"/>
        <v>100</v>
      </c>
      <c r="E20" s="87">
        <f>IFERROR(__xludf.DUMMYFUNCTION("IMPORTRANGE(""https://docs.google.com/spreadsheets/d/1d0Y9C6M4-a1TT0nIK2Gc4IXnbVyxoBB3v7o1biNGAwY/edit#gid=1892753874"",""Rekap UBM!$E$9"")"),6.0)</f>
        <v>6</v>
      </c>
      <c r="F20" s="95">
        <f>IFERROR(__xludf.DUMMYFUNCTION("IMPORTRANGE(""https://docs.google.com/spreadsheets/d/1d0Y9C6M4-a1TT0nIK2Gc4IXnbVyxoBB3v7o1biNGAwY/edit#gid=1892753874"",""Rekap UBM!$F$9"")"),0.0)</f>
        <v>0</v>
      </c>
      <c r="G20" s="94">
        <f t="shared" si="2"/>
        <v>0</v>
      </c>
      <c r="H20" s="95" t="str">
        <f>IFERROR(__xludf.DUMMYFUNCTION("IMPORTRANGE(""https://docs.google.com/spreadsheets/d/1d0Y9C6M4-a1TT0nIK2Gc4IXnbVyxoBB3v7o1biNGAwY/edit#gid=1892753874"",""Rekap UBM!$H$9"")"),"")</f>
        <v/>
      </c>
      <c r="I20" s="95">
        <f>IFERROR(__xludf.DUMMYFUNCTION("IMPORTRANGE(""https://docs.google.com/spreadsheets/d/1d0Y9C6M4-a1TT0nIK2Gc4IXnbVyxoBB3v7o1biNGAwY/edit#gid=1892753874"",""Rekap UBM!$I$9"")"),0.0)</f>
        <v>0</v>
      </c>
      <c r="J20" s="94" t="str">
        <f t="shared" si="3"/>
        <v>#DIV/0!</v>
      </c>
    </row>
    <row r="21" ht="15.75" customHeight="1">
      <c r="A21" s="86" t="str">
        <f>'SPM-Uspro'!$C$24</f>
        <v>#REF!</v>
      </c>
      <c r="B21" s="87">
        <f>IFERROR(__xludf.DUMMYFUNCTION("IMPORTRANGE(""https://docs.google.com/spreadsheets/d/1fXA1yQzUNddp7fjR2KF22o4rRJu9lP9Ja9Oi1mRbg_E/edit#gid=1892753874"",""Rekap UBM!$B$9"")"),1.0)</f>
        <v>1</v>
      </c>
      <c r="C21" s="87">
        <f>IFERROR(__xludf.DUMMYFUNCTION("IMPORTRANGE(""https://docs.google.com/spreadsheets/d/1fXA1yQzUNddp7fjR2KF22o4rRJu9lP9Ja9Oi1mRbg_E/edit#gid=1892753874"",""Rekap UBM!$C$9"")"),1.0)</f>
        <v>1</v>
      </c>
      <c r="D21" s="94">
        <f t="shared" si="1"/>
        <v>100</v>
      </c>
      <c r="E21" s="87">
        <f>IFERROR(__xludf.DUMMYFUNCTION("IMPORTRANGE(""https://docs.google.com/spreadsheets/d/1fXA1yQzUNddp7fjR2KF22o4rRJu9lP9Ja9Oi1mRbg_E/edit#gid=1892753874"",""Rekap UBM!$E$9"")"),1.0)</f>
        <v>1</v>
      </c>
      <c r="F21" s="95">
        <f>IFERROR(__xludf.DUMMYFUNCTION("IMPORTRANGE(""https://docs.google.com/spreadsheets/d/1fXA1yQzUNddp7fjR2KF22o4rRJu9lP9Ja9Oi1mRbg_E/edit#gid=1892753874"",""Rekap UBM!$F$9"")"),1.0)</f>
        <v>1</v>
      </c>
      <c r="G21" s="94">
        <f t="shared" si="2"/>
        <v>100</v>
      </c>
      <c r="H21" s="95" t="str">
        <f>IFERROR(__xludf.DUMMYFUNCTION("IMPORTRANGE(""https://docs.google.com/spreadsheets/d/1fXA1yQzUNddp7fjR2KF22o4rRJu9lP9Ja9Oi1mRbg_E/edit#gid=1892753874"",""Rekap UBM!$H$9"")"),"")</f>
        <v/>
      </c>
      <c r="I21" s="95" t="str">
        <f>IFERROR(__xludf.DUMMYFUNCTION("IMPORTRANGE(""https://docs.google.com/spreadsheets/d/1fXA1yQzUNddp7fjR2KF22o4rRJu9lP9Ja9Oi1mRbg_E/edit#gid=1892753874"",""Rekap UBM!$I$9"")"),"")</f>
        <v/>
      </c>
      <c r="J21" s="94" t="str">
        <f t="shared" si="3"/>
        <v>#DIV/0!</v>
      </c>
    </row>
    <row r="22" ht="15.75" customHeight="1">
      <c r="A22" s="86" t="str">
        <f>'SPM-Uspro'!$C$25</f>
        <v>#REF!</v>
      </c>
      <c r="B22" s="87">
        <f>IFERROR(__xludf.DUMMYFUNCTION("IMPORTRANGE(""https://docs.google.com/spreadsheets/d/155aL1qCqCleHwMP0Y8LT5akEbK27R0RIka-lAkeoeEo/edit#gid=1892753874"",""Rekap UBM!$B$9"")"),1.0)</f>
        <v>1</v>
      </c>
      <c r="C22" s="87">
        <f>IFERROR(__xludf.DUMMYFUNCTION("IMPORTRANGE(""https://docs.google.com/spreadsheets/d/155aL1qCqCleHwMP0Y8LT5akEbK27R0RIka-lAkeoeEo/edit#gid=1892753874"",""Rekap UBM!$C$9"")"),1.0)</f>
        <v>1</v>
      </c>
      <c r="D22" s="94">
        <f t="shared" si="1"/>
        <v>100</v>
      </c>
      <c r="E22" s="87">
        <f>IFERROR(__xludf.DUMMYFUNCTION("IMPORTRANGE(""https://docs.google.com/spreadsheets/d/155aL1qCqCleHwMP0Y8LT5akEbK27R0RIka-lAkeoeEo/edit#gid=1892753874"",""Rekap UBM!$E$9"")"),7.0)</f>
        <v>7</v>
      </c>
      <c r="F22" s="95">
        <f>IFERROR(__xludf.DUMMYFUNCTION("IMPORTRANGE(""https://docs.google.com/spreadsheets/d/155aL1qCqCleHwMP0Y8LT5akEbK27R0RIka-lAkeoeEo/edit#gid=1892753874"",""Rekap UBM!$F$9"")"),0.0)</f>
        <v>0</v>
      </c>
      <c r="G22" s="94">
        <f t="shared" si="2"/>
        <v>0</v>
      </c>
      <c r="H22" s="95">
        <f>IFERROR(__xludf.DUMMYFUNCTION("IMPORTRANGE(""https://docs.google.com/spreadsheets/d/155aL1qCqCleHwMP0Y8LT5akEbK27R0RIka-lAkeoeEo/edit#gid=1892753874"",""Rekap UBM!$H$9"")"),2.0)</f>
        <v>2</v>
      </c>
      <c r="I22" s="95">
        <f>IFERROR(__xludf.DUMMYFUNCTION("IMPORTRANGE(""https://docs.google.com/spreadsheets/d/155aL1qCqCleHwMP0Y8LT5akEbK27R0RIka-lAkeoeEo/edit#gid=1892753874"",""Rekap UBM!$I$9"")"),0.0)</f>
        <v>0</v>
      </c>
      <c r="J22" s="94">
        <f t="shared" si="3"/>
        <v>0</v>
      </c>
    </row>
    <row r="23" ht="15.75" customHeight="1">
      <c r="A23" s="86" t="str">
        <f>'SPM-Uspro'!$C$26</f>
        <v>#REF!</v>
      </c>
      <c r="B23" s="87">
        <f>IFERROR(__xludf.DUMMYFUNCTION("IMPORTRANGE(""https://docs.google.com/spreadsheets/d/13FRR1udp0c0o6Nmp_8YHiON78PXr-L4FqQQ028JcBYY/edit#gid=1522333227"",""Rekap UBM!$B$9"")"),1.0)</f>
        <v>1</v>
      </c>
      <c r="C23" s="87">
        <f>IFERROR(__xludf.DUMMYFUNCTION("IMPORTRANGE(""https://docs.google.com/spreadsheets/d/13FRR1udp0c0o6Nmp_8YHiON78PXr-L4FqQQ028JcBYY/edit#gid=1522333227"",""Rekap UBM!$C$9"")"),1.0)</f>
        <v>1</v>
      </c>
      <c r="D23" s="94">
        <f t="shared" si="1"/>
        <v>100</v>
      </c>
      <c r="E23" s="87">
        <f>IFERROR(__xludf.DUMMYFUNCTION("IMPORTRANGE(""https://docs.google.com/spreadsheets/d/13FRR1udp0c0o6Nmp_8YHiON78PXr-L4FqQQ028JcBYY/edit#gid=1522333227"",""Rekap UBM!$E$9"")"),0.0)</f>
        <v>0</v>
      </c>
      <c r="F23" s="95">
        <f>IFERROR(__xludf.DUMMYFUNCTION("IMPORTRANGE(""https://docs.google.com/spreadsheets/d/13FRR1udp0c0o6Nmp_8YHiON78PXr-L4FqQQ028JcBYY/edit#gid=1522333227"",""Rekap UBM!$F$9"")"),0.0)</f>
        <v>0</v>
      </c>
      <c r="G23" s="94" t="str">
        <f t="shared" si="2"/>
        <v>#DIV/0!</v>
      </c>
      <c r="H23" s="95">
        <f>IFERROR(__xludf.DUMMYFUNCTION("IMPORTRANGE(""https://docs.google.com/spreadsheets/d/13FRR1udp0c0o6Nmp_8YHiON78PXr-L4FqQQ028JcBYY/edit#gid=1522333227"",""Rekap UBM!$H$9"")"),0.0)</f>
        <v>0</v>
      </c>
      <c r="I23" s="95">
        <f>IFERROR(__xludf.DUMMYFUNCTION("IMPORTRANGE(""https://docs.google.com/spreadsheets/d/13FRR1udp0c0o6Nmp_8YHiON78PXr-L4FqQQ028JcBYY/edit#gid=1522333227"",""Rekap UBM!$I$9"")"),0.0)</f>
        <v>0</v>
      </c>
      <c r="J23" s="94" t="str">
        <f t="shared" si="3"/>
        <v>#DIV/0!</v>
      </c>
    </row>
    <row r="24" ht="15.75" customHeight="1">
      <c r="A24" s="86" t="str">
        <f>'SPM-Uspro'!$C$27</f>
        <v>#REF!</v>
      </c>
      <c r="B24" s="87">
        <f>IFERROR(__xludf.DUMMYFUNCTION("IMPORTRANGE(""https://docs.google.com/spreadsheets/d/1PVwe4VvYfj1Vj424c9kO9TcQogsBM6TpXMbFve9togc/edit#gid=1522333227"",""Rekap UBM!$B$9"")"),1.0)</f>
        <v>1</v>
      </c>
      <c r="C24" s="87">
        <f>IFERROR(__xludf.DUMMYFUNCTION("IMPORTRANGE(""https://docs.google.com/spreadsheets/d/1PVwe4VvYfj1Vj424c9kO9TcQogsBM6TpXMbFve9togc/edit#gid=1522333227"",""Rekap UBM!$C$9"")"),1.0)</f>
        <v>1</v>
      </c>
      <c r="D24" s="94">
        <f t="shared" si="1"/>
        <v>100</v>
      </c>
      <c r="E24" s="87">
        <f>IFERROR(__xludf.DUMMYFUNCTION("IMPORTRANGE(""https://docs.google.com/spreadsheets/d/1PVwe4VvYfj1Vj424c9kO9TcQogsBM6TpXMbFve9togc/edit#gid=1522333227"",""Rekap UBM!$E$9"")"),3.0)</f>
        <v>3</v>
      </c>
      <c r="F24" s="95">
        <f>IFERROR(__xludf.DUMMYFUNCTION("IMPORTRANGE(""https://docs.google.com/spreadsheets/d/1PVwe4VvYfj1Vj424c9kO9TcQogsBM6TpXMbFve9togc/edit#gid=1522333227"",""Rekap UBM!$F$9"")"),0.0)</f>
        <v>0</v>
      </c>
      <c r="G24" s="94">
        <f t="shared" si="2"/>
        <v>0</v>
      </c>
      <c r="H24" s="95">
        <f>IFERROR(__xludf.DUMMYFUNCTION("IMPORTRANGE(""https://docs.google.com/spreadsheets/d/1PVwe4VvYfj1Vj424c9kO9TcQogsBM6TpXMbFve9togc/edit#gid=1522333227"",""Rekap UBM!$H$9"")"),0.0)</f>
        <v>0</v>
      </c>
      <c r="I24" s="95">
        <f>IFERROR(__xludf.DUMMYFUNCTION("IMPORTRANGE(""https://docs.google.com/spreadsheets/d/1PVwe4VvYfj1Vj424c9kO9TcQogsBM6TpXMbFve9togc/edit#gid=1522333227"",""Rekap UBM!$I$9"")"),0.0)</f>
        <v>0</v>
      </c>
      <c r="J24" s="94" t="str">
        <f t="shared" si="3"/>
        <v>#DIV/0!</v>
      </c>
    </row>
    <row r="25" ht="15.75" customHeight="1">
      <c r="A25" s="86" t="str">
        <f>'SPM-Uspro'!$C$28</f>
        <v>#REF!</v>
      </c>
      <c r="B25" s="87">
        <f>IFERROR(__xludf.DUMMYFUNCTION("IMPORTRANGE(""https://docs.google.com/spreadsheets/d/15JUTNcWxWGx3Ha8qvwbxgnbDbT4v7N3vZYvqPZ68_Xg/edit#gid=1892753874"",""Rekap UBM!$B$9"")"),1.0)</f>
        <v>1</v>
      </c>
      <c r="C25" s="87">
        <f>IFERROR(__xludf.DUMMYFUNCTION("IMPORTRANGE(""https://docs.google.com/spreadsheets/d/15JUTNcWxWGx3Ha8qvwbxgnbDbT4v7N3vZYvqPZ68_Xg/edit#gid=1892753874"",""Rekap UBM!$C$9"")"),1.0)</f>
        <v>1</v>
      </c>
      <c r="D25" s="94">
        <f t="shared" si="1"/>
        <v>100</v>
      </c>
      <c r="E25" s="87" t="str">
        <f>IFERROR(__xludf.DUMMYFUNCTION("IMPORTRANGE(""https://docs.google.com/spreadsheets/d/15JUTNcWxWGx3Ha8qvwbxgnbDbT4v7N3vZYvqPZ68_Xg/edit#gid=1892753874"",""Rekap UBM!$E$9"")"),"")</f>
        <v/>
      </c>
      <c r="F25" s="95" t="str">
        <f>IFERROR(__xludf.DUMMYFUNCTION("IMPORTRANGE(""https://docs.google.com/spreadsheets/d/15JUTNcWxWGx3Ha8qvwbxgnbDbT4v7N3vZYvqPZ68_Xg/edit#gid=1892753874"",""Rekap UBM!$F$9"")"),"")</f>
        <v/>
      </c>
      <c r="G25" s="94" t="str">
        <f t="shared" si="2"/>
        <v>#DIV/0!</v>
      </c>
      <c r="H25" s="95" t="str">
        <f>IFERROR(__xludf.DUMMYFUNCTION("IMPORTRANGE(""https://docs.google.com/spreadsheets/d/15JUTNcWxWGx3Ha8qvwbxgnbDbT4v7N3vZYvqPZ68_Xg/edit#gid=1892753874"",""Rekap UBM!$H$9"")"),"")</f>
        <v/>
      </c>
      <c r="I25" s="95" t="str">
        <f>IFERROR(__xludf.DUMMYFUNCTION("IMPORTRANGE(""https://docs.google.com/spreadsheets/d/15JUTNcWxWGx3Ha8qvwbxgnbDbT4v7N3vZYvqPZ68_Xg/edit#gid=1892753874"",""Rekap UBM!$I$9"")"),"")</f>
        <v/>
      </c>
      <c r="J25" s="94" t="str">
        <f t="shared" si="3"/>
        <v>#DIV/0!</v>
      </c>
    </row>
    <row r="26" ht="15.75" customHeight="1"/>
    <row r="27" ht="15.75" customHeight="1">
      <c r="B27" s="96" t="s">
        <v>51</v>
      </c>
      <c r="C27" s="97"/>
      <c r="D27" s="98" t="s">
        <v>52</v>
      </c>
    </row>
    <row r="28" ht="15.75" customHeight="1">
      <c r="B28" s="97"/>
      <c r="C28" s="97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D7:D9"/>
    <mergeCell ref="E7:E9"/>
    <mergeCell ref="F7:F9"/>
    <mergeCell ref="G7:G9"/>
    <mergeCell ref="H7:H9"/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</mergeCells>
  <hyperlinks>
    <hyperlink display="              Kembali ke _x000a_              Pilihan Program" location="null!A1" ref="A1"/>
    <hyperlink r:id="rId1" ref="A4"/>
  </hyperlinks>
  <printOptions/>
  <pageMargins bottom="0.75" footer="0.0" header="0.0" left="0.7" right="0.7" top="0.75"/>
  <pageSetup orientation="landscape"/>
  <drawing r:id="rId2"/>
</worksheet>
</file>